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4875" activeTab="0"/>
  </bookViews>
  <sheets>
    <sheet name="Impacto Lei 12.619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Fill" localSheetId="0" hidden="1">#REF!</definedName>
    <definedName name="_Fill" hidden="1">#REF!</definedName>
    <definedName name="_PAG1">#N/A</definedName>
    <definedName name="_PAG2" localSheetId="0">#REF!</definedName>
    <definedName name="_PAG2">#REF!</definedName>
    <definedName name="_PAG3" localSheetId="0">#REF!</definedName>
    <definedName name="_PAG3">#REF!</definedName>
    <definedName name="_PAG4" localSheetId="0">#REF!</definedName>
    <definedName name="_PAG4">#REF!</definedName>
    <definedName name="_PAG5">#N/A</definedName>
    <definedName name="_PAG6" localSheetId="0">#REF!</definedName>
    <definedName name="_PAG6">#REF!</definedName>
    <definedName name="_PAG7" localSheetId="0">#REF!</definedName>
    <definedName name="_PAG7">#REF!</definedName>
    <definedName name="_PAG8" localSheetId="0">#REF!</definedName>
    <definedName name="_PAG8">#REF!</definedName>
    <definedName name="_PAG9">#N/A</definedName>
    <definedName name="IMPRIME" localSheetId="0">#REF!</definedName>
    <definedName name="IMPRIME">#REF!</definedName>
  </definedNames>
  <calcPr calcId="124519"/>
</workbook>
</file>

<file path=xl/comments1.xml><?xml version="1.0" encoding="utf-8"?>
<comments xmlns="http://schemas.openxmlformats.org/spreadsheetml/2006/main">
  <authors>
    <author>Lauro</author>
    <author>LAURO_CASA</author>
  </authors>
  <commentList>
    <comment ref="C4" authorId="0">
      <text>
        <r>
          <rPr>
            <b/>
            <sz val="9"/>
            <rFont val="Tahoma"/>
            <family val="2"/>
          </rPr>
          <t>sobre o Faturamento</t>
        </r>
      </text>
    </comment>
    <comment ref="K8" authorId="1">
      <text>
        <r>
          <rPr>
            <b/>
            <sz val="9"/>
            <rFont val="Tahoma"/>
            <family val="2"/>
          </rPr>
          <t>Dias efetivamente trabalhados, descontar dias parados em manutenção, sem serviço, domingos e feriasdos ...)</t>
        </r>
      </text>
    </comment>
    <comment ref="K9" authorId="1">
      <text>
        <r>
          <rPr>
            <b/>
            <sz val="9"/>
            <rFont val="Tahoma"/>
            <family val="2"/>
          </rPr>
          <t>escolha o modelo do veículo utilizado, o custo fixo e variável será inserido automaticamente de acordo com a escolha.</t>
        </r>
      </text>
    </comment>
    <comment ref="P9" authorId="1">
      <text>
        <r>
          <rPr>
            <b/>
            <sz val="9"/>
            <rFont val="Tahoma"/>
            <family val="2"/>
          </rPr>
          <t>escolha o modelo do veículo utilizado, o custo fixo e variável será inserido automaticamente de acordo com a escolha.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Tempo médio dispendido na operação de carga/descarga: espera, filas, documentação, etc devem compor este número.  </t>
        </r>
      </text>
    </comment>
    <comment ref="K14" authorId="1">
      <text>
        <r>
          <rPr>
            <b/>
            <sz val="9"/>
            <rFont val="Tahoma"/>
            <family val="2"/>
          </rPr>
          <t>considerar o tempo de parada do motorista para almoço, ir ao banheiro, etc.</t>
        </r>
      </text>
    </comment>
    <comment ref="M17" authorId="1">
      <text>
        <r>
          <rPr>
            <b/>
            <sz val="9"/>
            <rFont val="Tahoma"/>
            <family val="2"/>
          </rPr>
          <t>Número de funcionários utilizados por veículo na operação.</t>
        </r>
      </text>
    </comment>
    <comment ref="O18" authorId="0">
      <text>
        <r>
          <rPr>
            <b/>
            <sz val="9"/>
            <rFont val="Tahoma"/>
            <family val="2"/>
          </rPr>
          <t>Salário médio com encargos sociais, horas extras, prêmios etc</t>
        </r>
      </text>
    </comment>
  </commentList>
</comments>
</file>

<file path=xl/sharedStrings.xml><?xml version="1.0" encoding="utf-8"?>
<sst xmlns="http://schemas.openxmlformats.org/spreadsheetml/2006/main" count="68" uniqueCount="56">
  <si>
    <t>Fixo Mensal
(R$)</t>
  </si>
  <si>
    <t>Diária
(R$)</t>
  </si>
  <si>
    <t>Custo km
(R$)</t>
  </si>
  <si>
    <t>Dados Operacionais - Viagem Lotação</t>
  </si>
  <si>
    <t>Dias/Trab. Por mês</t>
  </si>
  <si>
    <t>dias</t>
  </si>
  <si>
    <t>Cav. Mec - 6x2</t>
  </si>
  <si>
    <t>Custo Hora (R$)</t>
  </si>
  <si>
    <t>Tempo de carga/descarga</t>
  </si>
  <si>
    <t>horas</t>
  </si>
  <si>
    <t>Velocidade média</t>
  </si>
  <si>
    <t>km/h</t>
  </si>
  <si>
    <t>Total Custo/hora</t>
  </si>
  <si>
    <t>Qtde</t>
  </si>
  <si>
    <t>Total</t>
  </si>
  <si>
    <t>Tripulação por hora</t>
  </si>
  <si>
    <t>ANTES</t>
  </si>
  <si>
    <t>DEPOIS da Lei</t>
  </si>
  <si>
    <t>Custo Salário</t>
  </si>
  <si>
    <t>km</t>
  </si>
  <si>
    <t>Viag/mês</t>
  </si>
  <si>
    <t>Custo /viagem</t>
  </si>
  <si>
    <t>Caminhões 3/4</t>
  </si>
  <si>
    <t>TRUCK/TOCO</t>
  </si>
  <si>
    <t>Cav. Mec - 4x2</t>
  </si>
  <si>
    <t>Cav. Mec - 6x4</t>
  </si>
  <si>
    <t>Bitrem 7 E - Carga Seca/Contêiner</t>
  </si>
  <si>
    <t>Bitrem 7 E - Sider/Baú</t>
  </si>
  <si>
    <t>Bitrem 9 E - Sider/Baú</t>
  </si>
  <si>
    <t>SEMIRREBOQUES</t>
  </si>
  <si>
    <r>
      <t xml:space="preserve">Horas trab/dia </t>
    </r>
    <r>
      <rPr>
        <b/>
        <sz val="11"/>
        <color theme="4" tint="-0.24997000396251678"/>
        <rFont val="Calibri"/>
        <family val="2"/>
      </rPr>
      <t>ANTES</t>
    </r>
    <r>
      <rPr>
        <sz val="11"/>
        <color indexed="8"/>
        <rFont val="Calibri"/>
        <family val="2"/>
      </rPr>
      <t xml:space="preserve"> da Lei</t>
    </r>
  </si>
  <si>
    <r>
      <t xml:space="preserve">Horas trab/dia </t>
    </r>
    <r>
      <rPr>
        <b/>
        <sz val="11"/>
        <color theme="4" tint="-0.24997000396251678"/>
        <rFont val="Calibri"/>
        <family val="2"/>
      </rPr>
      <t>DEPOIS</t>
    </r>
    <r>
      <rPr>
        <sz val="11"/>
        <color indexed="8"/>
        <rFont val="Calibri"/>
        <family val="2"/>
      </rPr>
      <t xml:space="preserve"> da Lei</t>
    </r>
  </si>
  <si>
    <t>IMPACTO</t>
  </si>
  <si>
    <t>Baú/Sider 3 Eixos</t>
  </si>
  <si>
    <t>Carga Seca 3 Eixos/Contêiner</t>
  </si>
  <si>
    <t>Eng. Antonio Lauro Valdivia Neto - F: 11 9 9184 3909 - alvne@ig.com.br</t>
  </si>
  <si>
    <t>IMPACTO por Distância</t>
  </si>
  <si>
    <t>Os valores em VERMELHO podem ser alterados</t>
  </si>
  <si>
    <r>
      <rPr>
        <b/>
        <sz val="11"/>
        <color theme="3" tint="-0.24997000396251678"/>
        <rFont val="Calibri"/>
        <family val="2"/>
      </rPr>
      <t>DEPOIS</t>
    </r>
    <r>
      <rPr>
        <sz val="11"/>
        <color theme="3" tint="-0.24997000396251678"/>
        <rFont val="Calibri"/>
        <family val="2"/>
      </rPr>
      <t xml:space="preserve"> da Lei</t>
    </r>
  </si>
  <si>
    <r>
      <t>DEPOIS</t>
    </r>
    <r>
      <rPr>
        <sz val="11"/>
        <color theme="4" tint="-0.24997000396251678"/>
        <rFont val="Calibri"/>
        <family val="2"/>
      </rPr>
      <t xml:space="preserve"> da Lei</t>
    </r>
  </si>
  <si>
    <r>
      <t>ANTES</t>
    </r>
    <r>
      <rPr>
        <sz val="11"/>
        <color theme="4" tint="-0.24997000396251678"/>
        <rFont val="Calibri"/>
        <family val="2"/>
      </rPr>
      <t xml:space="preserve"> da Lei</t>
    </r>
  </si>
  <si>
    <t>Tanque 3 Eixos (Vanderléia)</t>
  </si>
  <si>
    <t>Bitrem 9 E - Tanque</t>
  </si>
  <si>
    <t>Despesas Administrativas por veículo</t>
  </si>
  <si>
    <t>Desp. Administrativas/veículo</t>
  </si>
  <si>
    <r>
      <t xml:space="preserve">Veículo </t>
    </r>
    <r>
      <rPr>
        <b/>
        <i/>
        <sz val="11"/>
        <color indexed="8"/>
        <rFont val="Calibri"/>
        <family val="2"/>
      </rPr>
      <t xml:space="preserve">(escolher) </t>
    </r>
  </si>
  <si>
    <r>
      <t xml:space="preserve">Semirreboque </t>
    </r>
    <r>
      <rPr>
        <b/>
        <i/>
        <sz val="11"/>
        <color indexed="8"/>
        <rFont val="Calibri"/>
        <family val="2"/>
      </rPr>
      <t xml:space="preserve">(escolher) </t>
    </r>
  </si>
  <si>
    <t>Caso necessite de um trabalho mais específico e detalhado é só entrar em contato.</t>
  </si>
  <si>
    <t>Curta</t>
  </si>
  <si>
    <t>Média</t>
  </si>
  <si>
    <t>Longa</t>
  </si>
  <si>
    <t>Muito Longa</t>
  </si>
  <si>
    <t>ROTAS</t>
  </si>
  <si>
    <t>Muito Curta</t>
  </si>
  <si>
    <r>
      <t xml:space="preserve"> - ZERO a 7 anos
</t>
    </r>
  </si>
  <si>
    <r>
      <t xml:space="preserve">outros valores você encontra no site 
</t>
    </r>
    <r>
      <rPr>
        <b/>
        <sz val="16"/>
        <color rgb="FFC00000"/>
        <rFont val="Calibri"/>
        <family val="2"/>
      </rPr>
      <t>www.guiadotrc.com.br</t>
    </r>
  </si>
</sst>
</file>

<file path=xl/styles.xml><?xml version="1.0" encoding="utf-8"?>
<styleSheet xmlns="http://schemas.openxmlformats.org/spreadsheetml/2006/main">
  <numFmts count="10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0.0%"/>
    <numFmt numFmtId="165" formatCode="0.000000"/>
    <numFmt numFmtId="166" formatCode="0.0000"/>
    <numFmt numFmtId="167" formatCode="_-&quot;R$&quot;\ * #,##0.0000_-;\-&quot;R$&quot;\ * #,##0.0000_-;_-&quot;R$&quot;\ * &quot;-&quot;??_-;_-@_-"/>
    <numFmt numFmtId="168" formatCode="0.0"/>
    <numFmt numFmtId="169" formatCode="_(* #,##0.00_);_(* \(#,##0.00\);_(* &quot;-&quot;??_);_(@_)"/>
    <numFmt numFmtId="170" formatCode="#,##0.0000"/>
    <numFmt numFmtId="171" formatCode="_-&quot;R$&quot;\ * #,##0.0000_-;\-&quot;R$&quot;\ * #,##0.0000_-;_-&quot;R$&quot;\ * &quot;-&quot;??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 tint="0.49998000264167786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C00000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2"/>
      <color rgb="FFFFFF00"/>
      <name val="Calibri"/>
      <family val="2"/>
    </font>
    <font>
      <sz val="12"/>
      <color rgb="FFFFFF00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11"/>
      <color theme="4" tint="0.7999799847602844"/>
      <name val="Calibri"/>
      <family val="2"/>
    </font>
    <font>
      <b/>
      <sz val="20"/>
      <color indexed="8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165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Border="1"/>
    <xf numFmtId="2" fontId="0" fillId="2" borderId="0" xfId="0" applyNumberFormat="1" applyFill="1" applyAlignment="1">
      <alignment horizontal="center"/>
    </xf>
    <xf numFmtId="44" fontId="0" fillId="2" borderId="0" xfId="20" applyNumberFormat="1" applyFont="1" applyFill="1" applyBorder="1"/>
    <xf numFmtId="44" fontId="0" fillId="2" borderId="0" xfId="20" applyFont="1" applyFill="1"/>
    <xf numFmtId="167" fontId="0" fillId="2" borderId="0" xfId="20" applyNumberFormat="1" applyFont="1" applyFill="1" applyBorder="1"/>
    <xf numFmtId="44" fontId="0" fillId="2" borderId="0" xfId="0" applyNumberFormat="1" applyFill="1"/>
    <xf numFmtId="0" fontId="2" fillId="2" borderId="2" xfId="0" applyFont="1" applyFill="1" applyBorder="1"/>
    <xf numFmtId="2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20" applyNumberFormat="1" applyFont="1" applyFill="1"/>
    <xf numFmtId="0" fontId="6" fillId="2" borderId="0" xfId="0" applyFont="1" applyFill="1"/>
    <xf numFmtId="0" fontId="0" fillId="2" borderId="2" xfId="0" applyFill="1" applyBorder="1"/>
    <xf numFmtId="44" fontId="0" fillId="2" borderId="2" xfId="20" applyFont="1" applyFill="1" applyBorder="1"/>
    <xf numFmtId="0" fontId="0" fillId="2" borderId="0" xfId="0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44" fontId="2" fillId="3" borderId="0" xfId="20" applyFont="1" applyFill="1"/>
    <xf numFmtId="0" fontId="6" fillId="2" borderId="0" xfId="0" applyFont="1" applyFill="1" applyAlignment="1">
      <alignment horizontal="center"/>
    </xf>
    <xf numFmtId="7" fontId="0" fillId="2" borderId="0" xfId="20" applyNumberFormat="1" applyFont="1" applyFill="1" applyAlignment="1">
      <alignment horizontal="center"/>
    </xf>
    <xf numFmtId="7" fontId="0" fillId="2" borderId="2" xfId="20" applyNumberFormat="1" applyFont="1" applyFill="1" applyBorder="1" applyAlignment="1">
      <alignment horizontal="center"/>
    </xf>
    <xf numFmtId="7" fontId="0" fillId="2" borderId="0" xfId="0" applyNumberForma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39" fontId="6" fillId="2" borderId="2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 applyProtection="1">
      <alignment horizontal="center"/>
      <protection locked="0"/>
    </xf>
    <xf numFmtId="166" fontId="6" fillId="2" borderId="0" xfId="0" applyNumberFormat="1" applyFont="1" applyFill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 applyProtection="1">
      <alignment horizontal="center"/>
      <protection locked="0"/>
    </xf>
    <xf numFmtId="168" fontId="11" fillId="4" borderId="3" xfId="0" applyNumberFormat="1" applyFont="1" applyFill="1" applyBorder="1" applyAlignment="1" applyProtection="1">
      <alignment horizontal="center"/>
      <protection locked="0"/>
    </xf>
    <xf numFmtId="168" fontId="11" fillId="4" borderId="4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9" fontId="16" fillId="5" borderId="0" xfId="21" applyFont="1" applyFill="1" applyAlignment="1">
      <alignment horizontal="center"/>
    </xf>
    <xf numFmtId="0" fontId="18" fillId="0" borderId="0" xfId="0" applyFont="1"/>
    <xf numFmtId="0" fontId="4" fillId="2" borderId="0" xfId="0" applyFont="1" applyFill="1" applyAlignment="1">
      <alignment vertical="center" wrapText="1"/>
    </xf>
    <xf numFmtId="39" fontId="6" fillId="0" borderId="3" xfId="0" applyNumberFormat="1" applyFont="1" applyFill="1" applyBorder="1" applyAlignment="1" applyProtection="1">
      <alignment horizontal="center"/>
      <protection locked="0"/>
    </xf>
    <xf numFmtId="166" fontId="6" fillId="0" borderId="3" xfId="0" applyNumberFormat="1" applyFont="1" applyFill="1" applyBorder="1" applyAlignment="1" applyProtection="1">
      <alignment horizontal="center"/>
      <protection locked="0"/>
    </xf>
    <xf numFmtId="44" fontId="11" fillId="0" borderId="3" xfId="20" applyFont="1" applyFill="1" applyBorder="1" applyProtection="1">
      <protection locked="0"/>
    </xf>
    <xf numFmtId="0" fontId="20" fillId="2" borderId="0" xfId="0" applyFont="1" applyFill="1"/>
    <xf numFmtId="0" fontId="19" fillId="2" borderId="0" xfId="0" applyFont="1" applyFill="1"/>
    <xf numFmtId="0" fontId="14" fillId="0" borderId="0" xfId="0" applyFont="1"/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6" fillId="2" borderId="0" xfId="0" applyNumberFormat="1" applyFont="1" applyFill="1" applyBorder="1" applyAlignment="1" applyProtection="1">
      <alignment horizontal="center"/>
      <protection locked="0"/>
    </xf>
    <xf numFmtId="165" fontId="21" fillId="2" borderId="5" xfId="0" applyNumberFormat="1" applyFont="1" applyFill="1" applyBorder="1" applyAlignment="1">
      <alignment vertical="center"/>
    </xf>
    <xf numFmtId="44" fontId="0" fillId="2" borderId="0" xfId="20" applyFont="1" applyFill="1"/>
    <xf numFmtId="17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2" xfId="0" applyFont="1" applyFill="1" applyBorder="1"/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3" borderId="0" xfId="0" applyFill="1"/>
    <xf numFmtId="9" fontId="16" fillId="6" borderId="0" xfId="2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Normal 2" xfId="22"/>
    <cellStyle name="Normal 3" xfId="23"/>
    <cellStyle name="Percent_Planilhas Financeiras - 6P" xfId="24"/>
    <cellStyle name="Separador de milhares 2" xfId="25"/>
    <cellStyle name="Separador de milhares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INCTNOVO\INCTF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SIMULA&#199;&#21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ESOSa"/>
      <sheetName val="PESOSr"/>
      <sheetName val="PESOSdat"/>
      <sheetName val="PESOSou"/>
      <sheetName val="DAT"/>
      <sheetName val="PLANCUSr"/>
      <sheetName val="PLANCUSce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"/>
      <sheetName val="Simulador VIAGEM"/>
      <sheetName val="Simulador COLETAS"/>
      <sheetName val="Simulador ROTAS_Nr Viagens"/>
      <sheetName val="Simulador ROTAS_Tempo"/>
      <sheetName val="Tab Modelos&amp;Insumos"/>
      <sheetName val="Mão de Obra"/>
      <sheetName val="Cust Model_Veículos_5 "/>
      <sheetName val="Planilha_Veículos_ 5"/>
      <sheetName val="Relatório de Compatibilidade"/>
    </sheetNames>
    <sheetDataSet>
      <sheetData sheetId="0"/>
      <sheetData sheetId="1"/>
      <sheetData sheetId="2"/>
      <sheetData sheetId="3"/>
      <sheetData sheetId="4"/>
      <sheetData sheetId="5">
        <row r="22">
          <cell r="B22" t="str">
            <v>Utilitários</v>
          </cell>
        </row>
      </sheetData>
      <sheetData sheetId="6">
        <row r="5">
          <cell r="B5" t="str">
            <v>Motorista - Utilitário</v>
          </cell>
        </row>
        <row r="11">
          <cell r="B11" t="str">
            <v>Motorista - Caminhão LEVE</v>
          </cell>
        </row>
        <row r="17">
          <cell r="B17" t="str">
            <v>Motorista - Caminhão TRUCK</v>
          </cell>
        </row>
        <row r="23">
          <cell r="B23" t="str">
            <v>Motorista - Caminhão PESADO</v>
          </cell>
        </row>
        <row r="29">
          <cell r="B29" t="str">
            <v>Ajudante</v>
          </cell>
        </row>
      </sheetData>
      <sheetData sheetId="7"/>
      <sheetData sheetId="8">
        <row r="19">
          <cell r="B19">
            <v>0.3567912947368421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38"/>
  <sheetViews>
    <sheetView showGridLines="0" tabSelected="1" workbookViewId="0" topLeftCell="A2">
      <selection activeCell="H3" sqref="H3"/>
    </sheetView>
  </sheetViews>
  <sheetFormatPr defaultColWidth="9.140625" defaultRowHeight="15"/>
  <cols>
    <col min="1" max="1" width="2.28125" style="0" customWidth="1"/>
    <col min="2" max="2" width="40.7109375" style="0" bestFit="1" customWidth="1"/>
    <col min="3" max="3" width="11.57421875" style="3" bestFit="1" customWidth="1"/>
    <col min="4" max="4" width="13.421875" style="3" customWidth="1"/>
    <col min="5" max="5" width="14.28125" style="3" bestFit="1" customWidth="1"/>
    <col min="6" max="7" width="2.00390625" style="0" customWidth="1"/>
    <col min="8" max="8" width="11.57421875" style="0" customWidth="1"/>
    <col min="9" max="9" width="9.57421875" style="0" bestFit="1" customWidth="1"/>
    <col min="10" max="10" width="11.8515625" style="0" customWidth="1"/>
    <col min="11" max="11" width="14.140625" style="0" bestFit="1" customWidth="1"/>
    <col min="12" max="12" width="5.8515625" style="0" bestFit="1" customWidth="1"/>
    <col min="13" max="13" width="6.421875" style="0" bestFit="1" customWidth="1"/>
    <col min="14" max="14" width="12.421875" style="0" bestFit="1" customWidth="1"/>
    <col min="15" max="15" width="13.8515625" style="0" bestFit="1" customWidth="1"/>
    <col min="16" max="16" width="24.00390625" style="0" bestFit="1" customWidth="1"/>
    <col min="17" max="17" width="2.8515625" style="0" customWidth="1"/>
    <col min="18" max="18" width="14.140625" style="0" customWidth="1"/>
  </cols>
  <sheetData>
    <row r="1" ht="18.75">
      <c r="B1" s="41" t="s">
        <v>35</v>
      </c>
    </row>
    <row r="2" ht="18.75">
      <c r="B2" s="41"/>
    </row>
    <row r="3" ht="15">
      <c r="B3" s="48" t="s">
        <v>37</v>
      </c>
    </row>
    <row r="4" spans="1:5" ht="15.75" hidden="1">
      <c r="A4" s="5"/>
      <c r="B4" s="34" t="s">
        <v>43</v>
      </c>
      <c r="C4" s="31">
        <v>0.5</v>
      </c>
      <c r="D4" s="51">
        <f>1/(1-(C4))</f>
        <v>2</v>
      </c>
      <c r="E4" s="2"/>
    </row>
    <row r="5" ht="7.5" customHeight="1"/>
    <row r="6" spans="1:18" ht="45">
      <c r="A6" s="5"/>
      <c r="B6" s="42" t="s">
        <v>54</v>
      </c>
      <c r="C6" s="35" t="s">
        <v>0</v>
      </c>
      <c r="D6" s="4" t="s">
        <v>1</v>
      </c>
      <c r="E6" s="35" t="s">
        <v>2</v>
      </c>
      <c r="G6" s="5"/>
      <c r="H6" s="66" t="s">
        <v>3</v>
      </c>
      <c r="I6" s="66"/>
      <c r="J6" s="66"/>
      <c r="K6" s="66"/>
      <c r="L6" s="66"/>
      <c r="M6" s="66"/>
      <c r="N6" s="66"/>
      <c r="O6" s="66"/>
      <c r="P6" s="66"/>
      <c r="Q6" s="66"/>
      <c r="R6" s="5"/>
    </row>
    <row r="7" spans="1:18" ht="18.75" customHeight="1">
      <c r="A7" s="5"/>
      <c r="B7" s="76" t="s">
        <v>55</v>
      </c>
      <c r="C7" s="70"/>
      <c r="D7" s="70"/>
      <c r="E7" s="71"/>
      <c r="G7" s="5"/>
      <c r="H7" s="8" t="s">
        <v>30</v>
      </c>
      <c r="I7" s="74"/>
      <c r="J7" s="74"/>
      <c r="K7" s="75">
        <v>14</v>
      </c>
      <c r="L7" s="74"/>
      <c r="M7" s="8" t="s">
        <v>31</v>
      </c>
      <c r="N7" s="74"/>
      <c r="O7" s="74"/>
      <c r="P7" s="75">
        <v>10</v>
      </c>
      <c r="Q7" s="5"/>
      <c r="R7" s="5"/>
    </row>
    <row r="8" spans="1:18" ht="18.75" customHeight="1">
      <c r="A8" s="5"/>
      <c r="B8" s="77"/>
      <c r="C8" s="72"/>
      <c r="D8" s="72"/>
      <c r="E8" s="73"/>
      <c r="G8" s="5"/>
      <c r="H8" s="8" t="s">
        <v>4</v>
      </c>
      <c r="I8" s="74"/>
      <c r="J8" s="74"/>
      <c r="K8" s="75">
        <v>22</v>
      </c>
      <c r="L8" s="74" t="s">
        <v>5</v>
      </c>
      <c r="M8" s="74"/>
      <c r="N8" s="74"/>
      <c r="O8" s="74"/>
      <c r="P8" s="74"/>
      <c r="Q8" s="5"/>
      <c r="R8" s="5"/>
    </row>
    <row r="9" spans="1:18" ht="15">
      <c r="A9" s="5"/>
      <c r="B9" s="6" t="s">
        <v>22</v>
      </c>
      <c r="C9" s="43">
        <v>1945</v>
      </c>
      <c r="D9" s="7">
        <f>+C9/$K$8</f>
        <v>88.4090909090909</v>
      </c>
      <c r="E9" s="44">
        <v>0.6815</v>
      </c>
      <c r="G9" s="5"/>
      <c r="H9" s="5" t="s">
        <v>45</v>
      </c>
      <c r="I9" s="5"/>
      <c r="J9" s="5"/>
      <c r="K9" s="36" t="s">
        <v>24</v>
      </c>
      <c r="L9" s="5"/>
      <c r="M9" s="5" t="s">
        <v>46</v>
      </c>
      <c r="N9" s="5"/>
      <c r="O9" s="5"/>
      <c r="P9" s="36" t="s">
        <v>33</v>
      </c>
      <c r="Q9" s="5"/>
      <c r="R9" s="5"/>
    </row>
    <row r="10" spans="1:18" ht="15">
      <c r="A10" s="5"/>
      <c r="B10" s="9" t="s">
        <v>23</v>
      </c>
      <c r="C10" s="43">
        <v>2908</v>
      </c>
      <c r="D10" s="10">
        <f>+C10/$K$8</f>
        <v>132.1818181818182</v>
      </c>
      <c r="E10" s="44">
        <v>0.9733</v>
      </c>
      <c r="G10" s="5"/>
      <c r="H10" s="5"/>
      <c r="I10" s="5" t="str">
        <f>+C6</f>
        <v>Fixo Mensal
(R$)</v>
      </c>
      <c r="J10" s="5"/>
      <c r="K10" s="11">
        <f>+IF(K9=B7,C7,IF(K9=B8,C8,IF(K9=B9,C9,IF(K9=B10,C10,IF(K9=B11,C11,IF(K9=B12,C12,IF(K9=B13,C13,0)))))))</f>
        <v>4004</v>
      </c>
      <c r="L10" s="5"/>
      <c r="M10" s="5"/>
      <c r="N10" s="5" t="str">
        <f>+I10</f>
        <v>Fixo Mensal
(R$)</v>
      </c>
      <c r="O10" s="5"/>
      <c r="P10" s="11">
        <f>+IF(P9=B18,C18,IF(P9=B19,C19,IF(P9=B20,C20,IF(P9=B22,C22,IF(P9=B23,C23,IF(P9=B25,C25,IF(P9=B26,C26,0)))))))</f>
        <v>1130</v>
      </c>
      <c r="Q10" s="5"/>
      <c r="R10" s="5"/>
    </row>
    <row r="11" spans="1:18" ht="15">
      <c r="A11" s="5"/>
      <c r="B11" s="6" t="s">
        <v>24</v>
      </c>
      <c r="C11" s="43">
        <v>4004</v>
      </c>
      <c r="D11" s="7">
        <f>+C11/$K$8</f>
        <v>182</v>
      </c>
      <c r="E11" s="44">
        <v>1.1367</v>
      </c>
      <c r="G11" s="5"/>
      <c r="H11" s="5"/>
      <c r="I11" s="5" t="s">
        <v>7</v>
      </c>
      <c r="J11" s="5"/>
      <c r="K11" s="12">
        <f>+K10/($K$7*$K$8)</f>
        <v>13</v>
      </c>
      <c r="L11" s="5"/>
      <c r="M11" s="5"/>
      <c r="N11" s="5" t="str">
        <f>+I11</f>
        <v>Custo Hora (R$)</v>
      </c>
      <c r="O11" s="5"/>
      <c r="P11" s="12">
        <f>+P10/($K$7*$K$8)</f>
        <v>3.668831168831169</v>
      </c>
      <c r="Q11" s="5"/>
      <c r="R11" s="5"/>
    </row>
    <row r="12" spans="1:18" ht="15">
      <c r="A12" s="5"/>
      <c r="B12" s="1" t="s">
        <v>6</v>
      </c>
      <c r="C12" s="43">
        <v>4758</v>
      </c>
      <c r="D12" s="7">
        <f>+C12/$K$8</f>
        <v>216.27272727272728</v>
      </c>
      <c r="E12" s="44">
        <v>1.2706</v>
      </c>
      <c r="G12" s="5"/>
      <c r="H12" s="5"/>
      <c r="I12" s="5" t="str">
        <f>+E6</f>
        <v>Custo km
(R$)</v>
      </c>
      <c r="J12" s="5"/>
      <c r="K12" s="13">
        <f>+IF(K9=B7,E7,IF(K9=B8,E8,IF(K9=B9,E9,IF(K9=B10,E10,IF(K9=B11,E11,IF(K9=B12,E12,IF(K9=B13,E13,0)))))))</f>
        <v>1.1367</v>
      </c>
      <c r="L12" s="5"/>
      <c r="M12" s="5"/>
      <c r="N12" s="5" t="str">
        <f>+I12</f>
        <v>Custo km
(R$)</v>
      </c>
      <c r="O12" s="5"/>
      <c r="P12" s="13">
        <f>+IF(P9=B18,E18,IF(P9=B19,E19,IF(P9=B20,E20,IF(P9=B22,E22,IF(P9=B23,E23,IF(P9=B25,E25,IF(P9=B26,E26,0)))))))</f>
        <v>0.3697</v>
      </c>
      <c r="Q12" s="5"/>
      <c r="R12" s="5"/>
    </row>
    <row r="13" spans="1:18" ht="15">
      <c r="A13" s="5"/>
      <c r="B13" s="6" t="s">
        <v>25</v>
      </c>
      <c r="C13" s="43">
        <v>6286</v>
      </c>
      <c r="D13" s="7">
        <f>+C13/$K$8</f>
        <v>285.72727272727275</v>
      </c>
      <c r="E13" s="44">
        <v>1.3553</v>
      </c>
      <c r="G13" s="5"/>
      <c r="H13" s="8" t="s">
        <v>8</v>
      </c>
      <c r="I13" s="5"/>
      <c r="J13" s="5"/>
      <c r="K13" s="36">
        <v>8</v>
      </c>
      <c r="L13" s="5" t="s">
        <v>9</v>
      </c>
      <c r="M13" s="5"/>
      <c r="N13" s="5"/>
      <c r="O13" s="5"/>
      <c r="P13" s="5"/>
      <c r="Q13" s="5"/>
      <c r="R13" s="5"/>
    </row>
    <row r="14" spans="1:18" ht="15">
      <c r="A14" s="5"/>
      <c r="B14" s="5"/>
      <c r="C14" s="25"/>
      <c r="D14" s="10"/>
      <c r="E14" s="32"/>
      <c r="G14" s="5"/>
      <c r="H14" s="8" t="s">
        <v>10</v>
      </c>
      <c r="I14" s="5"/>
      <c r="J14" s="5"/>
      <c r="K14" s="36">
        <v>50</v>
      </c>
      <c r="L14" s="5" t="s">
        <v>11</v>
      </c>
      <c r="M14" s="5"/>
      <c r="N14" s="5" t="s">
        <v>12</v>
      </c>
      <c r="O14" s="5"/>
      <c r="P14" s="14">
        <f>+P11+K11+K18</f>
        <v>30.464285714285715</v>
      </c>
      <c r="Q14" s="5"/>
      <c r="R14" s="5"/>
    </row>
    <row r="15" spans="1:18" ht="9" customHeight="1">
      <c r="A15" s="5"/>
      <c r="B15" s="5"/>
      <c r="C15" s="25"/>
      <c r="D15" s="10"/>
      <c r="E15" s="32"/>
      <c r="G15" s="5"/>
      <c r="H15" s="8"/>
      <c r="I15" s="5"/>
      <c r="J15" s="5"/>
      <c r="K15" s="5"/>
      <c r="L15" s="5"/>
      <c r="M15" s="5"/>
      <c r="N15" s="5"/>
      <c r="O15" s="5"/>
      <c r="P15" s="14"/>
      <c r="Q15" s="5"/>
      <c r="R15" s="5"/>
    </row>
    <row r="16" spans="1:18" ht="15">
      <c r="A16" s="5"/>
      <c r="B16" s="5"/>
      <c r="C16" s="25"/>
      <c r="D16" s="10"/>
      <c r="E16" s="32"/>
      <c r="G16" s="5"/>
      <c r="H16" s="8" t="s">
        <v>44</v>
      </c>
      <c r="I16" s="5"/>
      <c r="J16" s="5"/>
      <c r="K16" s="52">
        <f>+(K10+P10)*C4</f>
        <v>2567</v>
      </c>
      <c r="L16" s="5"/>
      <c r="M16" s="5"/>
      <c r="N16" s="5"/>
      <c r="O16" s="5"/>
      <c r="P16" s="14"/>
      <c r="Q16" s="5"/>
      <c r="R16" s="5"/>
    </row>
    <row r="17" spans="1:18" ht="15">
      <c r="A17" s="5"/>
      <c r="B17" s="15" t="s">
        <v>29</v>
      </c>
      <c r="C17" s="29"/>
      <c r="D17" s="16"/>
      <c r="E17" s="33"/>
      <c r="G17" s="5"/>
      <c r="H17" s="5"/>
      <c r="I17" s="5"/>
      <c r="J17" s="5"/>
      <c r="K17" s="14">
        <f>+K12+P12</f>
        <v>1.5064</v>
      </c>
      <c r="L17" s="5"/>
      <c r="M17" s="67" t="s">
        <v>13</v>
      </c>
      <c r="N17" s="67"/>
      <c r="O17" s="5"/>
      <c r="P17" s="17" t="s">
        <v>14</v>
      </c>
      <c r="Q17" s="5"/>
      <c r="R17" s="17" t="s">
        <v>14</v>
      </c>
    </row>
    <row r="18" spans="1:18" ht="15">
      <c r="A18" s="5"/>
      <c r="B18" s="5" t="s">
        <v>34</v>
      </c>
      <c r="C18" s="43">
        <v>809</v>
      </c>
      <c r="D18" s="10">
        <f>+C18/$K$8</f>
        <v>36.77272727272727</v>
      </c>
      <c r="E18" s="44">
        <v>0.3117</v>
      </c>
      <c r="G18" s="5"/>
      <c r="H18" s="5" t="s">
        <v>15</v>
      </c>
      <c r="I18" s="5"/>
      <c r="J18" s="5"/>
      <c r="K18" s="18">
        <f>+P24/(K8*K7)</f>
        <v>13.795454545454545</v>
      </c>
      <c r="L18" s="5"/>
      <c r="M18" s="47" t="s">
        <v>16</v>
      </c>
      <c r="N18" s="46" t="s">
        <v>38</v>
      </c>
      <c r="O18" s="17" t="s">
        <v>18</v>
      </c>
      <c r="P18" s="25" t="s">
        <v>16</v>
      </c>
      <c r="Q18" s="5"/>
      <c r="R18" s="19" t="s">
        <v>17</v>
      </c>
    </row>
    <row r="19" spans="1:18" ht="15">
      <c r="A19" s="5"/>
      <c r="B19" s="5" t="s">
        <v>33</v>
      </c>
      <c r="C19" s="43">
        <v>1130</v>
      </c>
      <c r="D19" s="10">
        <f>+C19/$K$8</f>
        <v>51.36363636363637</v>
      </c>
      <c r="E19" s="44">
        <v>0.3697</v>
      </c>
      <c r="G19" s="5"/>
      <c r="H19" s="5" t="str">
        <f>+'[2]Mão de Obra'!B5</f>
        <v>Motorista - Utilitário</v>
      </c>
      <c r="I19" s="5"/>
      <c r="J19" s="5"/>
      <c r="K19" s="5"/>
      <c r="L19" s="5"/>
      <c r="M19" s="37">
        <v>0</v>
      </c>
      <c r="N19" s="37">
        <v>0</v>
      </c>
      <c r="O19" s="45">
        <v>1830</v>
      </c>
      <c r="P19" s="26">
        <f>+M19*O19</f>
        <v>0</v>
      </c>
      <c r="Q19" s="5"/>
      <c r="R19" s="12">
        <f>+N19*O19</f>
        <v>0</v>
      </c>
    </row>
    <row r="20" spans="1:18" ht="15">
      <c r="A20" s="5"/>
      <c r="B20" s="5" t="s">
        <v>41</v>
      </c>
      <c r="C20" s="43">
        <v>1603</v>
      </c>
      <c r="D20" s="10">
        <f>+C20/$K$8</f>
        <v>72.86363636363636</v>
      </c>
      <c r="E20" s="44">
        <v>0.3992</v>
      </c>
      <c r="G20" s="5"/>
      <c r="H20" s="5" t="str">
        <f>+'[2]Mão de Obra'!B11</f>
        <v>Motorista - Caminhão LEVE</v>
      </c>
      <c r="I20" s="5"/>
      <c r="J20" s="5"/>
      <c r="K20" s="5"/>
      <c r="L20" s="5"/>
      <c r="M20" s="37">
        <v>0</v>
      </c>
      <c r="N20" s="37">
        <v>0</v>
      </c>
      <c r="O20" s="45">
        <v>2093</v>
      </c>
      <c r="P20" s="26">
        <f>+M20*O20</f>
        <v>0</v>
      </c>
      <c r="Q20" s="5"/>
      <c r="R20" s="12">
        <f aca="true" t="shared" si="0" ref="R20:R23">+N20*O20</f>
        <v>0</v>
      </c>
    </row>
    <row r="21" spans="1:18" ht="15">
      <c r="A21" s="5"/>
      <c r="B21" s="20"/>
      <c r="C21" s="30"/>
      <c r="D21" s="16"/>
      <c r="E21" s="33"/>
      <c r="G21" s="5"/>
      <c r="H21" s="5" t="str">
        <f>+'[2]Mão de Obra'!B17</f>
        <v>Motorista - Caminhão TRUCK</v>
      </c>
      <c r="I21" s="5"/>
      <c r="J21" s="5"/>
      <c r="K21" s="5"/>
      <c r="L21" s="5"/>
      <c r="M21" s="37">
        <v>0</v>
      </c>
      <c r="N21" s="37">
        <v>0</v>
      </c>
      <c r="O21" s="45">
        <v>3089.5</v>
      </c>
      <c r="P21" s="26">
        <f>+M21*O21</f>
        <v>0</v>
      </c>
      <c r="Q21" s="5"/>
      <c r="R21" s="12">
        <f t="shared" si="0"/>
        <v>0</v>
      </c>
    </row>
    <row r="22" spans="1:18" ht="15">
      <c r="A22" s="5"/>
      <c r="B22" s="5" t="s">
        <v>26</v>
      </c>
      <c r="C22" s="43">
        <v>1206</v>
      </c>
      <c r="D22" s="10">
        <f>+C22/$K$8</f>
        <v>54.81818181818182</v>
      </c>
      <c r="E22" s="44">
        <v>0.3912</v>
      </c>
      <c r="G22" s="5"/>
      <c r="H22" s="20" t="str">
        <f>+'[2]Mão de Obra'!B23</f>
        <v>Motorista - Caminhão PESADO</v>
      </c>
      <c r="I22" s="20"/>
      <c r="J22" s="20"/>
      <c r="K22" s="20"/>
      <c r="L22" s="20"/>
      <c r="M22" s="37">
        <v>1</v>
      </c>
      <c r="N22" s="37">
        <v>1</v>
      </c>
      <c r="O22" s="45">
        <v>4249</v>
      </c>
      <c r="P22" s="27">
        <f>+M22*O22</f>
        <v>4249</v>
      </c>
      <c r="Q22" s="5"/>
      <c r="R22" s="21">
        <f t="shared" si="0"/>
        <v>4249</v>
      </c>
    </row>
    <row r="23" spans="1:18" ht="15">
      <c r="A23" s="5"/>
      <c r="B23" s="5" t="s">
        <v>27</v>
      </c>
      <c r="C23" s="43">
        <v>1794</v>
      </c>
      <c r="D23" s="10">
        <f>+C23/$K$8</f>
        <v>81.54545454545455</v>
      </c>
      <c r="E23" s="44">
        <v>0.4132</v>
      </c>
      <c r="G23" s="5"/>
      <c r="H23" s="5" t="str">
        <f>+'[2]Mão de Obra'!B29</f>
        <v>Ajudante</v>
      </c>
      <c r="I23" s="5"/>
      <c r="J23" s="5"/>
      <c r="K23" s="5"/>
      <c r="L23" s="5"/>
      <c r="M23" s="38">
        <v>0</v>
      </c>
      <c r="N23" s="38">
        <v>0</v>
      </c>
      <c r="O23" s="45">
        <v>1454</v>
      </c>
      <c r="P23" s="27">
        <f>+M23*O23</f>
        <v>0</v>
      </c>
      <c r="Q23" s="5"/>
      <c r="R23" s="21">
        <f t="shared" si="0"/>
        <v>0</v>
      </c>
    </row>
    <row r="24" spans="1:18" ht="15">
      <c r="A24" s="5"/>
      <c r="B24" s="20"/>
      <c r="C24" s="30"/>
      <c r="D24" s="16"/>
      <c r="E24" s="33"/>
      <c r="G24" s="5"/>
      <c r="H24" s="5"/>
      <c r="I24" s="5"/>
      <c r="J24" s="5"/>
      <c r="K24" s="5"/>
      <c r="L24" s="5"/>
      <c r="M24" s="5"/>
      <c r="N24" s="5"/>
      <c r="O24" s="5"/>
      <c r="P24" s="28">
        <f>+SUM(P19:P23)</f>
        <v>4249</v>
      </c>
      <c r="Q24" s="5"/>
      <c r="R24" s="14">
        <f>+SUM(R19:R23)</f>
        <v>4249</v>
      </c>
    </row>
    <row r="25" spans="1:18" ht="15.75">
      <c r="A25" s="5"/>
      <c r="B25" s="5" t="s">
        <v>42</v>
      </c>
      <c r="C25" s="43">
        <v>2760</v>
      </c>
      <c r="D25" s="10">
        <f>+C25/$K$8</f>
        <v>125.45454545454545</v>
      </c>
      <c r="E25" s="44">
        <v>0.5905</v>
      </c>
      <c r="G25" s="5"/>
      <c r="H25" s="68" t="s">
        <v>36</v>
      </c>
      <c r="I25" s="68"/>
      <c r="J25" s="68"/>
      <c r="K25" s="68"/>
      <c r="L25" s="68"/>
      <c r="M25" s="68"/>
      <c r="N25" s="68"/>
      <c r="O25" s="68"/>
      <c r="P25" s="68"/>
      <c r="Q25" s="5"/>
      <c r="R25" s="5"/>
    </row>
    <row r="26" spans="1:18" ht="15">
      <c r="A26" s="5"/>
      <c r="B26" s="5" t="s">
        <v>28</v>
      </c>
      <c r="C26" s="43">
        <v>1971</v>
      </c>
      <c r="D26" s="10">
        <f>+C26/$K$8</f>
        <v>89.5909090909091</v>
      </c>
      <c r="E26" s="44">
        <v>0.5094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0"/>
      <c r="C27" s="50"/>
      <c r="D27" s="50"/>
      <c r="E27" s="5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15">
      <c r="B28" s="49"/>
      <c r="C28" s="49"/>
      <c r="D28" s="49"/>
      <c r="E28" s="49"/>
      <c r="G28" s="5"/>
      <c r="H28" s="5"/>
      <c r="I28" s="5"/>
      <c r="J28" s="5"/>
      <c r="K28" s="39" t="s">
        <v>40</v>
      </c>
      <c r="L28" s="5"/>
      <c r="M28" s="5"/>
      <c r="N28" s="5"/>
      <c r="O28" s="39" t="s">
        <v>39</v>
      </c>
      <c r="P28" s="5"/>
      <c r="Q28" s="5"/>
      <c r="R28" s="5"/>
    </row>
    <row r="29" spans="2:18" ht="15.75">
      <c r="B29" s="49"/>
      <c r="C29" s="49"/>
      <c r="D29" s="49"/>
      <c r="E29" s="49"/>
      <c r="G29" s="5"/>
      <c r="H29" s="57" t="s">
        <v>52</v>
      </c>
      <c r="I29" s="56" t="s">
        <v>19</v>
      </c>
      <c r="J29" s="54" t="s">
        <v>20</v>
      </c>
      <c r="K29" s="55" t="s">
        <v>21</v>
      </c>
      <c r="L29" s="20"/>
      <c r="M29" s="20"/>
      <c r="N29" s="54" t="s">
        <v>20</v>
      </c>
      <c r="O29" s="55" t="s">
        <v>21</v>
      </c>
      <c r="P29" s="60" t="s">
        <v>32</v>
      </c>
      <c r="Q29" s="20"/>
      <c r="R29" s="57" t="s">
        <v>52</v>
      </c>
    </row>
    <row r="30" spans="7:18" ht="15.75">
      <c r="G30" s="5"/>
      <c r="H30" s="58" t="s">
        <v>53</v>
      </c>
      <c r="I30" s="22">
        <v>150</v>
      </c>
      <c r="J30" s="23">
        <f aca="true" t="shared" si="1" ref="J30:J34">+$K$7*$K$8/(I30/$K$14+$K$13)</f>
        <v>28</v>
      </c>
      <c r="K30" s="24">
        <f>+(($K$10+$P$10+$P$24+$K$16)/J30+I30*($K$12+$P$12))</f>
        <v>652.7457142857143</v>
      </c>
      <c r="L30" s="5"/>
      <c r="M30" s="5"/>
      <c r="N30" s="23">
        <f>+$P$7*$K$8/(I30/$K$14+$K$13)</f>
        <v>20</v>
      </c>
      <c r="O30" s="24">
        <f>+(($K$10+$P$10+$R$24+$K$16*1.15)/N30+I30*($K$12+$P$12))</f>
        <v>842.7125</v>
      </c>
      <c r="P30" s="40">
        <f>+O30/K30-1</f>
        <v>0.2910272431618526</v>
      </c>
      <c r="Q30" s="5"/>
      <c r="R30" s="58" t="s">
        <v>53</v>
      </c>
    </row>
    <row r="31" spans="7:18" ht="15.75">
      <c r="G31" s="5"/>
      <c r="H31" s="61" t="s">
        <v>48</v>
      </c>
      <c r="I31" s="62">
        <v>500</v>
      </c>
      <c r="J31" s="63">
        <f aca="true" t="shared" si="2" ref="J31">+$K$7*$K$8/(I31/$K$14+$K$13)</f>
        <v>17.11111111111111</v>
      </c>
      <c r="K31" s="24">
        <f aca="true" t="shared" si="3" ref="K31">+(($K$10+$P$10+$P$24+$K$16)/J31+I31*($K$12+$P$12))</f>
        <v>1451.5766233766233</v>
      </c>
      <c r="L31" s="64"/>
      <c r="M31" s="64"/>
      <c r="N31" s="63">
        <f aca="true" t="shared" si="4" ref="N31">+$P$7*$K$8/(I31/$K$14+$K$13)</f>
        <v>12.222222222222221</v>
      </c>
      <c r="O31" s="24">
        <f aca="true" t="shared" si="5" ref="O31">+(($K$10+$P$10+$R$24+$K$16*1.15)/N31+I31*($K$12+$P$12))</f>
        <v>1762.4313636363636</v>
      </c>
      <c r="P31" s="65">
        <f aca="true" t="shared" si="6" ref="P31">+O31/K31-1</f>
        <v>0.2141497288215053</v>
      </c>
      <c r="Q31" s="64"/>
      <c r="R31" s="61" t="s">
        <v>48</v>
      </c>
    </row>
    <row r="32" spans="7:18" ht="15.75">
      <c r="G32" s="5"/>
      <c r="H32" s="59" t="s">
        <v>49</v>
      </c>
      <c r="I32" s="22">
        <v>1000</v>
      </c>
      <c r="J32" s="23">
        <f t="shared" si="1"/>
        <v>11</v>
      </c>
      <c r="K32" s="24">
        <f aca="true" t="shared" si="7" ref="K32:K34">+(($K$10+$P$10+$P$24+$K$16)/J32+I32*($K$12+$P$12))</f>
        <v>2592.763636363636</v>
      </c>
      <c r="L32" s="5"/>
      <c r="M32" s="5"/>
      <c r="N32" s="23">
        <f aca="true" t="shared" si="8" ref="N32:N34">+$P$7*$K$8/(I32/$K$14+$K$13)</f>
        <v>7.857142857142857</v>
      </c>
      <c r="O32" s="24">
        <f aca="true" t="shared" si="9" ref="O32:O34">+(($K$10+$P$10+$R$24+$K$16*1.15)/N32+I32*($K$12+$P$12))</f>
        <v>3076.3154545454545</v>
      </c>
      <c r="P32" s="40">
        <f aca="true" t="shared" si="10" ref="P32:P34">+O32/K32-1</f>
        <v>0.18650053996437643</v>
      </c>
      <c r="Q32" s="5"/>
      <c r="R32" s="59" t="s">
        <v>49</v>
      </c>
    </row>
    <row r="33" spans="5:18" ht="15.75">
      <c r="E33" s="53"/>
      <c r="G33" s="5"/>
      <c r="H33" s="61" t="s">
        <v>50</v>
      </c>
      <c r="I33" s="62">
        <v>2000</v>
      </c>
      <c r="J33" s="63">
        <f t="shared" si="1"/>
        <v>6.416666666666667</v>
      </c>
      <c r="K33" s="24">
        <f t="shared" si="7"/>
        <v>4875.137662337662</v>
      </c>
      <c r="L33" s="64"/>
      <c r="M33" s="64"/>
      <c r="N33" s="63">
        <f t="shared" si="8"/>
        <v>4.583333333333333</v>
      </c>
      <c r="O33" s="24">
        <f t="shared" si="9"/>
        <v>5704.083636363636</v>
      </c>
      <c r="P33" s="65">
        <f t="shared" si="10"/>
        <v>0.170035398267808</v>
      </c>
      <c r="Q33" s="64"/>
      <c r="R33" s="61" t="s">
        <v>50</v>
      </c>
    </row>
    <row r="34" spans="5:18" ht="15.75">
      <c r="E34" s="53"/>
      <c r="G34" s="5"/>
      <c r="H34" s="59" t="s">
        <v>51</v>
      </c>
      <c r="I34" s="22">
        <v>4000</v>
      </c>
      <c r="J34" s="23">
        <f t="shared" si="1"/>
        <v>3.5</v>
      </c>
      <c r="K34" s="24">
        <f t="shared" si="7"/>
        <v>9439.885714285714</v>
      </c>
      <c r="L34" s="5"/>
      <c r="M34" s="5"/>
      <c r="N34" s="23">
        <f t="shared" si="8"/>
        <v>2.5</v>
      </c>
      <c r="O34" s="24">
        <f t="shared" si="9"/>
        <v>10959.619999999999</v>
      </c>
      <c r="P34" s="40">
        <f t="shared" si="10"/>
        <v>0.1609907504933472</v>
      </c>
      <c r="Q34" s="5"/>
      <c r="R34" s="59" t="s">
        <v>51</v>
      </c>
    </row>
    <row r="35" spans="6:17" ht="1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8" ht="34.5" customHeight="1">
      <c r="B36" s="69" t="s">
        <v>47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6:17" ht="1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6:17" ht="1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 password="DB00" sheet="1" objects="1" scenarios="1"/>
  <mergeCells count="5">
    <mergeCell ref="H6:Q6"/>
    <mergeCell ref="M17:N17"/>
    <mergeCell ref="H25:P25"/>
    <mergeCell ref="B36:R36"/>
    <mergeCell ref="B7:E8"/>
  </mergeCells>
  <dataValidations count="2">
    <dataValidation type="list" allowBlank="1" showInputMessage="1" showErrorMessage="1" sqref="P9">
      <formula1>$B$18:$B$26</formula1>
    </dataValidation>
    <dataValidation type="list" allowBlank="1" showInputMessage="1" showErrorMessage="1" sqref="K9">
      <formula1>$B$9:$B$13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Lauro</dc:creator>
  <cp:keywords/>
  <dc:description/>
  <cp:lastModifiedBy>LAURO_CASA</cp:lastModifiedBy>
  <dcterms:created xsi:type="dcterms:W3CDTF">2012-08-24T17:08:03Z</dcterms:created>
  <dcterms:modified xsi:type="dcterms:W3CDTF">2012-08-28T11:16:21Z</dcterms:modified>
  <cp:category/>
  <cp:version/>
  <cp:contentType/>
  <cp:contentStatus/>
</cp:coreProperties>
</file>