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LOGISPRO\Taxas e Tarifas\"/>
    </mc:Choice>
  </mc:AlternateContent>
  <bookViews>
    <workbookView xWindow="0" yWindow="0" windowWidth="20490" windowHeight="6930" firstSheet="1" activeTab="1" xr2:uid="{00000000-000D-0000-FFFF-FFFF00000000}"/>
  </bookViews>
  <sheets>
    <sheet name="Tabelas de Apoio" sheetId="2" state="hidden" r:id="rId1"/>
    <sheet name="Simuladores Frete Simples" sheetId="1" r:id="rId2"/>
  </sheets>
  <calcPr calcId="171027"/>
</workbook>
</file>

<file path=xl/calcChain.xml><?xml version="1.0" encoding="utf-8"?>
<calcChain xmlns="http://schemas.openxmlformats.org/spreadsheetml/2006/main">
  <c r="O9" i="1" l="1"/>
  <c r="O9" i="2"/>
  <c r="D72" i="1"/>
  <c r="D55" i="1"/>
  <c r="E57" i="1" s="1"/>
  <c r="K3" i="1"/>
  <c r="K4" i="1"/>
  <c r="L4" i="1"/>
  <c r="K2" i="1"/>
  <c r="D24" i="1"/>
  <c r="D73" i="1" s="1"/>
  <c r="D23" i="1"/>
  <c r="C17" i="2"/>
  <c r="D63" i="1" l="1"/>
  <c r="D46" i="1"/>
  <c r="D70" i="1"/>
  <c r="C72" i="1"/>
  <c r="F16" i="1"/>
  <c r="F17" i="1"/>
  <c r="F15" i="1"/>
  <c r="C16" i="2"/>
  <c r="B6" i="1"/>
  <c r="R4" i="1" l="1"/>
  <c r="R5" i="1"/>
  <c r="R3" i="1"/>
  <c r="L3" i="1"/>
  <c r="L2" i="1"/>
  <c r="G17" i="1"/>
  <c r="G16" i="1"/>
  <c r="G15" i="1"/>
  <c r="G14" i="1"/>
  <c r="G13" i="1"/>
  <c r="G12" i="1"/>
  <c r="G11" i="1"/>
  <c r="G10" i="1"/>
  <c r="G9" i="1"/>
  <c r="G8" i="1"/>
  <c r="G7" i="1"/>
  <c r="G6" i="1"/>
  <c r="F14" i="1"/>
  <c r="F13" i="1"/>
  <c r="F12" i="1"/>
  <c r="F11" i="1"/>
  <c r="F10" i="1"/>
  <c r="F9" i="1"/>
  <c r="F8" i="1"/>
  <c r="F7" i="1"/>
  <c r="F6" i="1"/>
  <c r="N4" i="1"/>
  <c r="N5" i="1"/>
  <c r="N3" i="1"/>
  <c r="D31" i="1" s="1"/>
  <c r="B7" i="1"/>
  <c r="B8" i="1"/>
  <c r="D27" i="1" s="1"/>
  <c r="B9" i="1"/>
  <c r="B10" i="1"/>
  <c r="B11" i="1"/>
  <c r="B15" i="1"/>
  <c r="B16" i="1"/>
  <c r="B17" i="1"/>
  <c r="C18" i="2"/>
  <c r="D28" i="1" l="1"/>
  <c r="O8" i="1"/>
  <c r="D35" i="1" s="1"/>
  <c r="E35" i="1" s="1"/>
  <c r="C15" i="1"/>
  <c r="O4" i="1"/>
  <c r="O5" i="1"/>
  <c r="O7" i="1"/>
  <c r="O3" i="1"/>
  <c r="D33" i="1" s="1"/>
  <c r="E33" i="1" s="1"/>
  <c r="I17" i="1"/>
  <c r="H17" i="1"/>
  <c r="I16" i="1"/>
  <c r="H16" i="1"/>
  <c r="I15" i="1"/>
  <c r="H15" i="1"/>
  <c r="I11" i="1"/>
  <c r="H11" i="1"/>
  <c r="I10" i="1"/>
  <c r="H10" i="1"/>
  <c r="I9" i="1"/>
  <c r="H9" i="1"/>
  <c r="I8" i="1"/>
  <c r="H8" i="1"/>
  <c r="I7" i="1"/>
  <c r="H7" i="1"/>
  <c r="I6" i="1"/>
  <c r="H6" i="1"/>
  <c r="D61" i="1" l="1"/>
  <c r="E61" i="1"/>
  <c r="D71" i="1"/>
  <c r="E62" i="1" l="1"/>
  <c r="D62" i="1"/>
  <c r="D66" i="1" l="1"/>
  <c r="D67" i="1"/>
  <c r="E73" i="1" l="1"/>
  <c r="E72" i="1"/>
  <c r="E70" i="1"/>
  <c r="E71" i="1"/>
  <c r="D74" i="1"/>
  <c r="D75" i="1"/>
  <c r="E75" i="1" s="1"/>
  <c r="D76" i="1"/>
  <c r="E76" i="1" s="1"/>
  <c r="E74" i="1" l="1"/>
  <c r="D77" i="1"/>
  <c r="E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Lauro</author>
  </authors>
  <commentList>
    <comment ref="D3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Quantidade de motoristas utilizados por veículo nas operações. Pode-se dividir o total de motoristas pelo total de veículos em operação para achar o número.</t>
        </r>
      </text>
    </comment>
    <comment ref="D3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Quantidade de ajudantes utilizados por veículo nas operações. Pode-se dividir o total de ajudantes pelo total de veículos em operação para achar o número.</t>
        </r>
      </text>
    </comment>
    <comment ref="D62" authorId="0" shapeId="0" xr:uid="{00000000-0006-0000-0100-000003000000}">
      <text>
        <r>
          <rPr>
            <b/>
            <sz val="9"/>
            <color indexed="81"/>
            <rFont val="Segoe UI"/>
            <charset val="1"/>
          </rPr>
          <t>20% a mais no salário
Hora de 50 min</t>
        </r>
      </text>
    </comment>
    <comment ref="E62" authorId="0" shapeId="0" xr:uid="{00000000-0006-0000-0100-000004000000}">
      <text>
        <r>
          <rPr>
            <b/>
            <sz val="9"/>
            <color indexed="81"/>
            <rFont val="Segoe UI"/>
            <charset val="1"/>
          </rPr>
          <t>20% a mais no salário
Hora de 50 min</t>
        </r>
      </text>
    </comment>
  </commentList>
</comments>
</file>

<file path=xl/sharedStrings.xml><?xml version="1.0" encoding="utf-8"?>
<sst xmlns="http://schemas.openxmlformats.org/spreadsheetml/2006/main" count="129" uniqueCount="92">
  <si>
    <t>Custo Fixo mensal</t>
  </si>
  <si>
    <t>Custo / km</t>
  </si>
  <si>
    <t>% Margem de Lucro</t>
  </si>
  <si>
    <t>km da viagem</t>
  </si>
  <si>
    <t>Categoria</t>
  </si>
  <si>
    <t>Capacidade</t>
  </si>
  <si>
    <t>min</t>
  </si>
  <si>
    <t>max</t>
  </si>
  <si>
    <t>Custo</t>
  </si>
  <si>
    <t>Fixo/mês</t>
  </si>
  <si>
    <t>por km</t>
  </si>
  <si>
    <t>TABELA 1</t>
  </si>
  <si>
    <t>TABELA 2</t>
  </si>
  <si>
    <t>COM TRIP</t>
  </si>
  <si>
    <t>COM COMB</t>
  </si>
  <si>
    <t>SEM TRIP</t>
  </si>
  <si>
    <t>SEM COMB</t>
  </si>
  <si>
    <t>TABELA 3</t>
  </si>
  <si>
    <t>VEÍCULOS</t>
  </si>
  <si>
    <t>ADMINISTRATIVOS</t>
  </si>
  <si>
    <t>MO DIRETA</t>
  </si>
  <si>
    <t>Encargos Sociais</t>
  </si>
  <si>
    <t>Qtde de Motoristas/veículo</t>
  </si>
  <si>
    <t>Salário Motorista</t>
  </si>
  <si>
    <t>Custo Tripulantes</t>
  </si>
  <si>
    <t>Qtde de Ajudantes/veículo</t>
  </si>
  <si>
    <t>Salário Ajudante</t>
  </si>
  <si>
    <t>Veículo</t>
  </si>
  <si>
    <t>Categoria do Motorista</t>
  </si>
  <si>
    <t>Categoria de Motorista</t>
  </si>
  <si>
    <t>Ajudante</t>
  </si>
  <si>
    <t>PIS</t>
  </si>
  <si>
    <t>Cofins</t>
  </si>
  <si>
    <t>IRPJ</t>
  </si>
  <si>
    <t>ICMS/ISS</t>
  </si>
  <si>
    <t>Contribuição Social s/ Lucro Líquido</t>
  </si>
  <si>
    <t>Outros</t>
  </si>
  <si>
    <t>Tempo Total do Serviço de Transporte em dias</t>
  </si>
  <si>
    <t>Carregamento (dias)</t>
  </si>
  <si>
    <t>Viagem (dias)</t>
  </si>
  <si>
    <t>Descarga (dias)</t>
  </si>
  <si>
    <t>TABELA 4</t>
  </si>
  <si>
    <t>OUTROS</t>
  </si>
  <si>
    <t>Dias Trabalhados/mês</t>
  </si>
  <si>
    <t>Horas Trab/dia</t>
  </si>
  <si>
    <t>Velocidade média</t>
  </si>
  <si>
    <t>Valor por quilômetro</t>
  </si>
  <si>
    <t xml:space="preserve">Carga útil transportada </t>
  </si>
  <si>
    <t>Na unidade de:</t>
  </si>
  <si>
    <t>toneladas</t>
  </si>
  <si>
    <t>Custo Fixo</t>
  </si>
  <si>
    <t>Custo variável/km</t>
  </si>
  <si>
    <t>Despesas administrativas</t>
  </si>
  <si>
    <t>Impostos</t>
  </si>
  <si>
    <t>Margem de lucro</t>
  </si>
  <si>
    <t>Participação</t>
  </si>
  <si>
    <t>Impostos (%): PIS, Confins, IR, ICMS, CSLL, ...</t>
  </si>
  <si>
    <t>Cavalo Mecânico 6 X 4</t>
  </si>
  <si>
    <t>Motorista 6x4</t>
  </si>
  <si>
    <t>Prancha reta 2 eixos</t>
  </si>
  <si>
    <t>Prancha reta 3 eixos</t>
  </si>
  <si>
    <t>Prancha rebaixada 2 eixos</t>
  </si>
  <si>
    <t>Prancha rebaixada 3 eixos</t>
  </si>
  <si>
    <t>Prancha rebaixada 4 eixos</t>
  </si>
  <si>
    <t>Prancha reb. 4 E + dolly 2 E</t>
  </si>
  <si>
    <t>Lagartixa 3 eixos</t>
  </si>
  <si>
    <t>Lagartixa 4 eixos</t>
  </si>
  <si>
    <t>Carga seca 3 eixos</t>
  </si>
  <si>
    <t>Impostos incidentes sobre o Frete</t>
  </si>
  <si>
    <t>Mão de obra</t>
  </si>
  <si>
    <t>FIORINO FURGÃO - 1.3 - FLEX FIAT</t>
  </si>
  <si>
    <t>Motorista Furgão</t>
  </si>
  <si>
    <t>Simulador de Preço de Escolta</t>
  </si>
  <si>
    <t>Diária (alimentação, pernoite, etc)</t>
  </si>
  <si>
    <t>Valor da Diária - noturna</t>
  </si>
  <si>
    <t>Preço da Viagem - vespertina</t>
  </si>
  <si>
    <t>Preço da Viagem - noturna</t>
  </si>
  <si>
    <t>s/ hora extra</t>
  </si>
  <si>
    <t>Valor da Diária e hora - vespertina</t>
  </si>
  <si>
    <t>Diária</t>
  </si>
  <si>
    <t>Hora</t>
  </si>
  <si>
    <t>Motorista Furgão-Noturno</t>
  </si>
  <si>
    <t>GOL 1.6 MI POWER TOTAL FLEX 1.8 - 4 p</t>
  </si>
  <si>
    <t>Op. Vespertina</t>
  </si>
  <si>
    <t>Valor do Serviço calculado</t>
  </si>
  <si>
    <t>Despesas Administrativa</t>
  </si>
  <si>
    <t>Desp. ADM 1</t>
  </si>
  <si>
    <t>Desp. ADM 2</t>
  </si>
  <si>
    <t xml:space="preserve"> - Café</t>
  </si>
  <si>
    <t xml:space="preserve"> - Almoço</t>
  </si>
  <si>
    <t xml:space="preserve"> - Janta</t>
  </si>
  <si>
    <t xml:space="preserve"> - 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</si>
</sst>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-&quot;R$&quot;\ * #,##0.000_-;\-&quot;R$&quot;\ * #,##0.000_-;_-&quot;R$&quot;\ * &quot;-&quot;??_-;_-@_-"/>
    <numFmt numFmtId="166" formatCode="_-[$R$-416]\ * #,##0.00_-;\-[$R$-416]\ * #,##0.00_-;_-[$R$-416]\ * &quot;-&quot;??_-;_-@_-"/>
    <numFmt numFmtId="167" formatCode="#,##0.0_ ;\-#,##0.0\ "/>
    <numFmt numFmtId="168" formatCode="#,##0.0"/>
    <numFmt numFmtId="169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Segoe UI"/>
      <charset val="1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8">
    <xf numFmtId="0" fontId="0" fillId="0" borderId="0" xfId="0"/>
    <xf numFmtId="0" fontId="0" fillId="4" borderId="0" xfId="0" applyFill="1"/>
    <xf numFmtId="0" fontId="2" fillId="4" borderId="0" xfId="0" applyFont="1" applyFill="1" applyAlignment="1">
      <alignment horizontal="left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horizontal="left"/>
    </xf>
    <xf numFmtId="0" fontId="0" fillId="4" borderId="0" xfId="0" applyFill="1" applyAlignment="1"/>
    <xf numFmtId="0" fontId="1" fillId="5" borderId="4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3" applyFont="1" applyAlignment="1">
      <alignment vertical="center"/>
    </xf>
    <xf numFmtId="165" fontId="0" fillId="0" borderId="0" xfId="3" applyNumberFormat="1" applyFont="1" applyAlignment="1">
      <alignment vertical="center"/>
    </xf>
    <xf numFmtId="44" fontId="2" fillId="4" borderId="0" xfId="3" applyFont="1" applyFill="1"/>
    <xf numFmtId="165" fontId="2" fillId="4" borderId="0" xfId="3" applyNumberFormat="1" applyFont="1" applyFill="1"/>
    <xf numFmtId="9" fontId="0" fillId="0" borderId="0" xfId="2" applyFont="1"/>
    <xf numFmtId="0" fontId="1" fillId="5" borderId="6" xfId="0" applyFont="1" applyFill="1" applyBorder="1" applyAlignment="1">
      <alignment horizontal="center"/>
    </xf>
    <xf numFmtId="44" fontId="0" fillId="0" borderId="5" xfId="3" applyFont="1" applyBorder="1" applyAlignment="1">
      <alignment vertical="center"/>
    </xf>
    <xf numFmtId="165" fontId="0" fillId="0" borderId="0" xfId="3" applyNumberFormat="1" applyFont="1" applyBorder="1" applyAlignment="1">
      <alignment vertical="center"/>
    </xf>
    <xf numFmtId="0" fontId="1" fillId="5" borderId="0" xfId="0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/>
    </xf>
    <xf numFmtId="9" fontId="0" fillId="0" borderId="0" xfId="0" applyNumberFormat="1" applyAlignment="1">
      <alignment vertical="center"/>
    </xf>
    <xf numFmtId="0" fontId="1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0" xfId="0" applyFill="1" applyAlignment="1">
      <alignment vertical="center"/>
    </xf>
    <xf numFmtId="0" fontId="1" fillId="4" borderId="0" xfId="0" applyFont="1" applyFill="1"/>
    <xf numFmtId="0" fontId="1" fillId="4" borderId="0" xfId="0" applyFont="1" applyFill="1" applyAlignment="1">
      <alignment horizontal="left"/>
    </xf>
    <xf numFmtId="164" fontId="0" fillId="0" borderId="0" xfId="2" applyNumberFormat="1" applyFont="1"/>
    <xf numFmtId="166" fontId="0" fillId="0" borderId="0" xfId="0" applyNumberFormat="1"/>
    <xf numFmtId="166" fontId="0" fillId="0" borderId="0" xfId="0" applyNumberFormat="1" applyAlignment="1">
      <alignment vertical="center"/>
    </xf>
    <xf numFmtId="164" fontId="0" fillId="4" borderId="0" xfId="2" applyNumberFormat="1" applyFon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168" fontId="0" fillId="0" borderId="1" xfId="0" applyNumberFormat="1" applyBorder="1" applyAlignment="1">
      <alignment horizontal="center"/>
    </xf>
    <xf numFmtId="0" fontId="0" fillId="4" borderId="0" xfId="0" applyFill="1" applyBorder="1"/>
    <xf numFmtId="0" fontId="6" fillId="4" borderId="0" xfId="0" applyFont="1" applyFill="1"/>
    <xf numFmtId="169" fontId="0" fillId="0" borderId="0" xfId="1" applyNumberFormat="1" applyFont="1"/>
    <xf numFmtId="44" fontId="6" fillId="4" borderId="0" xfId="3" applyFont="1" applyFill="1"/>
    <xf numFmtId="44" fontId="0" fillId="0" borderId="0" xfId="3" applyFont="1" applyBorder="1" applyAlignment="1">
      <alignment vertical="center"/>
    </xf>
    <xf numFmtId="165" fontId="0" fillId="3" borderId="0" xfId="3" applyNumberFormat="1" applyFont="1" applyFill="1"/>
    <xf numFmtId="0" fontId="1" fillId="7" borderId="0" xfId="0" applyFont="1" applyFill="1" applyAlignment="1">
      <alignment horizontal="left"/>
    </xf>
    <xf numFmtId="44" fontId="1" fillId="7" borderId="0" xfId="3" applyFont="1" applyFill="1"/>
    <xf numFmtId="164" fontId="5" fillId="4" borderId="0" xfId="2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ont="1" applyFill="1" applyAlignment="1"/>
    <xf numFmtId="165" fontId="1" fillId="9" borderId="0" xfId="3" applyNumberFormat="1" applyFont="1" applyFill="1" applyAlignment="1">
      <alignment vertical="center"/>
    </xf>
    <xf numFmtId="44" fontId="1" fillId="9" borderId="5" xfId="3" applyFont="1" applyFill="1" applyBorder="1" applyAlignment="1">
      <alignment vertical="center"/>
    </xf>
    <xf numFmtId="0" fontId="0" fillId="5" borderId="4" xfId="0" applyFill="1" applyBorder="1"/>
    <xf numFmtId="0" fontId="0" fillId="5" borderId="0" xfId="0" applyFill="1"/>
    <xf numFmtId="44" fontId="0" fillId="5" borderId="0" xfId="3" applyFont="1" applyFill="1"/>
    <xf numFmtId="164" fontId="0" fillId="5" borderId="0" xfId="2" applyNumberFormat="1" applyFont="1" applyFill="1" applyAlignment="1">
      <alignment horizontal="center"/>
    </xf>
    <xf numFmtId="44" fontId="0" fillId="5" borderId="4" xfId="3" applyFont="1" applyFill="1" applyBorder="1"/>
    <xf numFmtId="164" fontId="0" fillId="5" borderId="4" xfId="2" applyNumberFormat="1" applyFont="1" applyFill="1" applyBorder="1" applyAlignment="1">
      <alignment horizontal="center"/>
    </xf>
    <xf numFmtId="44" fontId="0" fillId="5" borderId="0" xfId="0" applyNumberFormat="1" applyFill="1"/>
    <xf numFmtId="10" fontId="0" fillId="5" borderId="0" xfId="2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left"/>
    </xf>
    <xf numFmtId="44" fontId="0" fillId="0" borderId="0" xfId="0" applyNumberFormat="1"/>
    <xf numFmtId="167" fontId="0" fillId="0" borderId="1" xfId="3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10" fontId="0" fillId="0" borderId="1" xfId="2" applyNumberFormat="1" applyFon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  <xf numFmtId="167" fontId="3" fillId="0" borderId="1" xfId="1" applyNumberFormat="1" applyFont="1" applyBorder="1" applyAlignment="1" applyProtection="1">
      <alignment horizontal="center"/>
      <protection locked="0"/>
    </xf>
    <xf numFmtId="43" fontId="5" fillId="0" borderId="1" xfId="1" applyFont="1" applyBorder="1" applyAlignment="1" applyProtection="1">
      <alignment horizontal="center"/>
      <protection locked="0"/>
    </xf>
    <xf numFmtId="0" fontId="0" fillId="4" borderId="0" xfId="0" applyFill="1" applyAlignment="1">
      <alignment horizontal="left"/>
    </xf>
    <xf numFmtId="0" fontId="1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44" fontId="0" fillId="5" borderId="0" xfId="3" applyFont="1" applyFill="1" applyAlignment="1">
      <alignment vertical="center"/>
    </xf>
    <xf numFmtId="165" fontId="0" fillId="5" borderId="0" xfId="3" applyNumberFormat="1" applyFont="1" applyFill="1" applyAlignment="1">
      <alignment vertical="center"/>
    </xf>
    <xf numFmtId="44" fontId="0" fillId="5" borderId="5" xfId="3" applyFont="1" applyFill="1" applyBorder="1" applyAlignment="1">
      <alignment vertical="center"/>
    </xf>
    <xf numFmtId="165" fontId="0" fillId="5" borderId="0" xfId="3" applyNumberFormat="1" applyFont="1" applyFill="1" applyBorder="1" applyAlignment="1">
      <alignment vertical="center"/>
    </xf>
    <xf numFmtId="166" fontId="0" fillId="5" borderId="0" xfId="0" applyNumberFormat="1" applyFill="1"/>
    <xf numFmtId="166" fontId="0" fillId="5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6" fontId="0" fillId="0" borderId="1" xfId="1" applyNumberFormat="1" applyFont="1" applyBorder="1" applyAlignment="1" applyProtection="1">
      <alignment horizontal="center"/>
      <protection locked="0"/>
    </xf>
    <xf numFmtId="44" fontId="1" fillId="10" borderId="0" xfId="3" applyFont="1" applyFill="1"/>
    <xf numFmtId="0" fontId="0" fillId="11" borderId="0" xfId="0" applyFont="1" applyFill="1"/>
    <xf numFmtId="44" fontId="3" fillId="11" borderId="0" xfId="3" applyFont="1" applyFill="1"/>
    <xf numFmtId="0" fontId="1" fillId="10" borderId="0" xfId="0" applyFont="1" applyFill="1"/>
    <xf numFmtId="0" fontId="0" fillId="4" borderId="0" xfId="0" applyFill="1" applyAlignment="1">
      <alignment horizontal="center"/>
    </xf>
    <xf numFmtId="10" fontId="0" fillId="4" borderId="0" xfId="2" applyNumberFormat="1" applyFont="1" applyFill="1" applyBorder="1" applyAlignment="1" applyProtection="1">
      <alignment horizontal="center"/>
      <protection locked="0"/>
    </xf>
    <xf numFmtId="165" fontId="1" fillId="5" borderId="0" xfId="3" applyNumberFormat="1" applyFont="1" applyFill="1" applyAlignment="1">
      <alignment vertical="center"/>
    </xf>
    <xf numFmtId="0" fontId="0" fillId="0" borderId="0" xfId="0" applyFill="1"/>
    <xf numFmtId="166" fontId="0" fillId="0" borderId="0" xfId="0" applyNumberFormat="1" applyFill="1"/>
    <xf numFmtId="43" fontId="0" fillId="0" borderId="0" xfId="0" applyNumberFormat="1"/>
    <xf numFmtId="44" fontId="0" fillId="0" borderId="0" xfId="0" applyNumberFormat="1" applyAlignment="1">
      <alignment vertical="center"/>
    </xf>
    <xf numFmtId="0" fontId="1" fillId="5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4" borderId="0" xfId="0" applyFill="1" applyAlignment="1">
      <alignment horizontal="left"/>
    </xf>
    <xf numFmtId="0" fontId="0" fillId="0" borderId="0" xfId="0" applyFill="1" applyAlignment="1" applyProtection="1">
      <alignment horizontal="left"/>
      <protection locked="0"/>
    </xf>
    <xf numFmtId="0" fontId="0" fillId="5" borderId="4" xfId="0" applyFill="1" applyBorder="1" applyAlignment="1">
      <alignment horizontal="center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8"/>
  <sheetViews>
    <sheetView topLeftCell="D1" workbookViewId="0">
      <selection activeCell="O9" sqref="O9"/>
    </sheetView>
  </sheetViews>
  <sheetFormatPr defaultRowHeight="15" x14ac:dyDescent="0.25"/>
  <cols>
    <col min="2" max="2" width="35.7109375" bestFit="1" customWidth="1"/>
    <col min="3" max="3" width="26.7109375" bestFit="1" customWidth="1"/>
    <col min="4" max="4" width="11.140625" bestFit="1" customWidth="1"/>
    <col min="6" max="6" width="13.28515625" bestFit="1" customWidth="1"/>
    <col min="7" max="7" width="11.42578125" bestFit="1" customWidth="1"/>
    <col min="8" max="8" width="12.140625" bestFit="1" customWidth="1"/>
    <col min="9" max="9" width="10.85546875" bestFit="1" customWidth="1"/>
    <col min="10" max="10" width="2.42578125" customWidth="1"/>
    <col min="11" max="11" width="10.5703125" bestFit="1" customWidth="1"/>
    <col min="13" max="13" width="2.5703125" customWidth="1"/>
    <col min="14" max="14" width="26.7109375" bestFit="1" customWidth="1"/>
    <col min="15" max="15" width="12.140625" bestFit="1" customWidth="1"/>
    <col min="16" max="16" width="2.5703125" customWidth="1"/>
    <col min="17" max="17" width="20.7109375" bestFit="1" customWidth="1"/>
  </cols>
  <sheetData>
    <row r="1" spans="2:18" x14ac:dyDescent="0.25">
      <c r="B1" s="92" t="s">
        <v>11</v>
      </c>
      <c r="C1" s="92"/>
      <c r="D1" s="92"/>
      <c r="E1" s="92"/>
      <c r="F1" s="92"/>
      <c r="G1" s="92"/>
      <c r="H1" s="92"/>
      <c r="I1" s="92"/>
      <c r="K1" s="92" t="s">
        <v>12</v>
      </c>
      <c r="L1" s="92"/>
      <c r="N1" s="92" t="s">
        <v>17</v>
      </c>
      <c r="O1" s="92"/>
      <c r="Q1" s="92" t="s">
        <v>41</v>
      </c>
      <c r="R1" s="92"/>
    </row>
    <row r="2" spans="2:18" x14ac:dyDescent="0.25">
      <c r="B2" s="93" t="s">
        <v>18</v>
      </c>
      <c r="C2" s="93"/>
      <c r="D2" s="93"/>
      <c r="E2" s="93"/>
      <c r="F2" s="93"/>
      <c r="G2" s="93"/>
      <c r="H2" s="93"/>
      <c r="I2" s="93"/>
      <c r="K2" s="93" t="s">
        <v>19</v>
      </c>
      <c r="L2" s="93"/>
      <c r="N2" s="93" t="s">
        <v>20</v>
      </c>
      <c r="O2" s="93"/>
      <c r="Q2" s="93" t="s">
        <v>42</v>
      </c>
      <c r="R2" s="93"/>
    </row>
    <row r="3" spans="2:18" x14ac:dyDescent="0.25">
      <c r="B3" s="8"/>
      <c r="C3" s="18"/>
      <c r="D3" s="18"/>
      <c r="E3" s="18"/>
      <c r="F3" s="91" t="s">
        <v>8</v>
      </c>
      <c r="G3" s="91"/>
      <c r="H3" s="91"/>
      <c r="I3" s="91"/>
      <c r="K3" t="s">
        <v>83</v>
      </c>
      <c r="L3" s="14">
        <v>0.46</v>
      </c>
      <c r="N3" s="52" t="s">
        <v>71</v>
      </c>
      <c r="O3" s="76">
        <v>2500</v>
      </c>
      <c r="Q3" t="s">
        <v>43</v>
      </c>
      <c r="R3" s="39">
        <v>20</v>
      </c>
    </row>
    <row r="4" spans="2:18" x14ac:dyDescent="0.25">
      <c r="B4" s="18"/>
      <c r="C4" s="18"/>
      <c r="D4" s="91" t="s">
        <v>5</v>
      </c>
      <c r="E4" s="91"/>
      <c r="F4" s="7" t="s">
        <v>9</v>
      </c>
      <c r="G4" s="7" t="s">
        <v>10</v>
      </c>
      <c r="H4" s="15" t="s">
        <v>9</v>
      </c>
      <c r="I4" s="7" t="s">
        <v>10</v>
      </c>
      <c r="K4" s="70" t="s">
        <v>86</v>
      </c>
      <c r="L4" s="14">
        <v>0.09</v>
      </c>
      <c r="N4" s="87" t="s">
        <v>81</v>
      </c>
      <c r="O4" s="88">
        <v>5067</v>
      </c>
      <c r="Q4" t="s">
        <v>44</v>
      </c>
      <c r="R4" s="39">
        <v>10</v>
      </c>
    </row>
    <row r="5" spans="2:18" x14ac:dyDescent="0.25">
      <c r="B5" s="7" t="s">
        <v>4</v>
      </c>
      <c r="C5" s="7" t="s">
        <v>29</v>
      </c>
      <c r="D5" s="7" t="s">
        <v>6</v>
      </c>
      <c r="E5" s="7" t="s">
        <v>7</v>
      </c>
      <c r="F5" s="22" t="s">
        <v>13</v>
      </c>
      <c r="G5" s="22" t="s">
        <v>14</v>
      </c>
      <c r="H5" s="23" t="s">
        <v>15</v>
      </c>
      <c r="I5" s="22" t="s">
        <v>16</v>
      </c>
      <c r="K5" s="70" t="s">
        <v>87</v>
      </c>
      <c r="L5" s="14">
        <v>0.13</v>
      </c>
      <c r="N5" t="s">
        <v>58</v>
      </c>
      <c r="O5" s="28">
        <v>5730</v>
      </c>
      <c r="Q5" t="s">
        <v>45</v>
      </c>
      <c r="R5">
        <v>30</v>
      </c>
    </row>
    <row r="6" spans="2:18" s="4" customFormat="1" ht="23.25" customHeight="1" x14ac:dyDescent="0.25">
      <c r="C6" s="34"/>
      <c r="F6" s="33"/>
      <c r="H6" s="35"/>
      <c r="N6"/>
      <c r="O6" s="29"/>
      <c r="R6" s="10"/>
    </row>
    <row r="7" spans="2:18" s="4" customFormat="1" ht="23.25" customHeight="1" x14ac:dyDescent="0.25">
      <c r="B7" s="4" t="s">
        <v>67</v>
      </c>
      <c r="C7" s="34"/>
      <c r="D7" s="9"/>
      <c r="E7" s="9"/>
      <c r="F7" s="10">
        <v>1162.1125520833334</v>
      </c>
      <c r="G7" s="11">
        <v>8.293346520146519E-2</v>
      </c>
      <c r="H7" s="16">
        <v>830</v>
      </c>
      <c r="I7" s="17">
        <v>0.48589999999999994</v>
      </c>
      <c r="N7" s="78" t="s">
        <v>21</v>
      </c>
      <c r="O7" s="21">
        <v>0</v>
      </c>
    </row>
    <row r="8" spans="2:18" s="4" customFormat="1" ht="23.25" customHeight="1" x14ac:dyDescent="0.25">
      <c r="B8" s="4" t="s">
        <v>59</v>
      </c>
      <c r="D8" s="9"/>
      <c r="E8" s="9"/>
      <c r="F8" s="10">
        <v>1419.7212500000001</v>
      </c>
      <c r="G8" s="11">
        <v>0.1482054945054945</v>
      </c>
      <c r="H8" s="16">
        <v>2121</v>
      </c>
      <c r="I8" s="17">
        <v>0.58189999999999997</v>
      </c>
      <c r="N8" s="24" t="s">
        <v>30</v>
      </c>
      <c r="O8" s="77">
        <v>2763</v>
      </c>
    </row>
    <row r="9" spans="2:18" s="4" customFormat="1" ht="23.25" customHeight="1" x14ac:dyDescent="0.25">
      <c r="B9" s="4" t="s">
        <v>60</v>
      </c>
      <c r="D9" s="9"/>
      <c r="E9" s="9"/>
      <c r="F9" s="10">
        <v>1568.486388888889</v>
      </c>
      <c r="G9" s="11">
        <v>0.15860549450549452</v>
      </c>
      <c r="H9" s="16">
        <v>1465</v>
      </c>
      <c r="I9" s="17">
        <v>0.24030000000000001</v>
      </c>
      <c r="N9" s="4" t="s">
        <v>79</v>
      </c>
      <c r="O9" s="10">
        <f>+SUM(O10:O13)</f>
        <v>61</v>
      </c>
    </row>
    <row r="10" spans="2:18" s="4" customFormat="1" ht="23.25" customHeight="1" x14ac:dyDescent="0.25">
      <c r="B10" s="4" t="s">
        <v>61</v>
      </c>
      <c r="D10" s="9"/>
      <c r="E10" s="9"/>
      <c r="F10" s="10">
        <v>1454.65625</v>
      </c>
      <c r="G10" s="11">
        <v>0.15048644688644688</v>
      </c>
      <c r="H10" s="16">
        <v>1879</v>
      </c>
      <c r="I10" s="17">
        <v>0.34110000000000001</v>
      </c>
      <c r="N10" s="4" t="s">
        <v>88</v>
      </c>
      <c r="O10" s="10">
        <v>7</v>
      </c>
    </row>
    <row r="11" spans="2:18" s="4" customFormat="1" ht="23.25" customHeight="1" x14ac:dyDescent="0.25">
      <c r="B11" s="4" t="s">
        <v>62</v>
      </c>
      <c r="D11" s="9"/>
      <c r="E11" s="9"/>
      <c r="F11" s="10">
        <v>1620.8888888888889</v>
      </c>
      <c r="G11" s="11">
        <v>0.1608864468864469</v>
      </c>
      <c r="H11" s="16">
        <v>2219</v>
      </c>
      <c r="I11" s="17">
        <v>0.4123</v>
      </c>
      <c r="N11" s="4" t="s">
        <v>89</v>
      </c>
      <c r="O11" s="10">
        <v>18</v>
      </c>
    </row>
    <row r="12" spans="2:18" s="4" customFormat="1" ht="23.25" customHeight="1" x14ac:dyDescent="0.25">
      <c r="B12" s="4" t="s">
        <v>63</v>
      </c>
      <c r="D12" s="9"/>
      <c r="E12" s="9"/>
      <c r="F12" s="10">
        <v>1792.40625</v>
      </c>
      <c r="G12" s="11">
        <v>0.19848644688644687</v>
      </c>
      <c r="H12" s="16">
        <v>2958</v>
      </c>
      <c r="I12" s="17">
        <v>0.41390000000000005</v>
      </c>
      <c r="N12" s="4" t="s">
        <v>90</v>
      </c>
      <c r="O12" s="10">
        <v>18</v>
      </c>
    </row>
    <row r="13" spans="2:18" s="4" customFormat="1" ht="23.25" customHeight="1" x14ac:dyDescent="0.25">
      <c r="B13" s="4" t="s">
        <v>64</v>
      </c>
      <c r="D13" s="59"/>
      <c r="E13" s="59"/>
      <c r="F13" s="10">
        <v>2095.5625</v>
      </c>
      <c r="G13" s="11">
        <v>0.23227106227106228</v>
      </c>
      <c r="H13" s="16"/>
      <c r="I13" s="17"/>
      <c r="N13" s="4" t="s">
        <v>91</v>
      </c>
      <c r="O13" s="10">
        <v>18</v>
      </c>
    </row>
    <row r="14" spans="2:18" s="4" customFormat="1" ht="23.25" customHeight="1" x14ac:dyDescent="0.25">
      <c r="B14" s="4" t="s">
        <v>65</v>
      </c>
      <c r="D14" s="59"/>
      <c r="E14" s="59"/>
      <c r="F14" s="10">
        <v>1542.675</v>
      </c>
      <c r="G14" s="11">
        <v>0.17507692307692307</v>
      </c>
      <c r="H14" s="16"/>
      <c r="I14" s="17"/>
    </row>
    <row r="15" spans="2:18" s="4" customFormat="1" ht="23.25" customHeight="1" x14ac:dyDescent="0.25">
      <c r="B15" s="4" t="s">
        <v>66</v>
      </c>
      <c r="D15" s="59"/>
      <c r="E15" s="59"/>
      <c r="F15" s="10">
        <v>1814.0874999999999</v>
      </c>
      <c r="G15" s="11">
        <v>0.1990769230769231</v>
      </c>
      <c r="H15" s="16"/>
      <c r="I15" s="17"/>
    </row>
    <row r="16" spans="2:18" s="4" customFormat="1" ht="23.25" customHeight="1" x14ac:dyDescent="0.25">
      <c r="B16" s="24" t="s">
        <v>70</v>
      </c>
      <c r="C16" s="24" t="str">
        <f>+N3</f>
        <v>Motorista Furgão</v>
      </c>
      <c r="D16" s="71"/>
      <c r="E16" s="71"/>
      <c r="F16" s="72">
        <v>6212</v>
      </c>
      <c r="G16" s="73">
        <v>0.67279999999999995</v>
      </c>
      <c r="H16" s="74">
        <v>2031</v>
      </c>
      <c r="I16" s="75">
        <v>0.30869999999999997</v>
      </c>
    </row>
    <row r="17" spans="2:9" s="4" customFormat="1" ht="23.25" customHeight="1" x14ac:dyDescent="0.25">
      <c r="B17" s="24" t="s">
        <v>82</v>
      </c>
      <c r="C17" s="24" t="str">
        <f>+N3</f>
        <v>Motorista Furgão</v>
      </c>
      <c r="D17" s="71"/>
      <c r="E17" s="71"/>
      <c r="F17" s="72">
        <v>6297.89</v>
      </c>
      <c r="G17" s="73">
        <v>0.89480000000000004</v>
      </c>
      <c r="H17" s="74">
        <v>2185</v>
      </c>
      <c r="I17" s="75">
        <v>0.53069999999999995</v>
      </c>
    </row>
    <row r="18" spans="2:9" x14ac:dyDescent="0.25">
      <c r="B18" s="4" t="s">
        <v>57</v>
      </c>
      <c r="C18" s="4" t="str">
        <f t="shared" ref="C18" si="0">+N5</f>
        <v>Motorista 6x4</v>
      </c>
      <c r="D18" s="9"/>
      <c r="E18" s="9"/>
      <c r="F18" s="10">
        <v>6243.3777333333337</v>
      </c>
      <c r="G18" s="11">
        <v>3.3236915005056478</v>
      </c>
      <c r="H18" s="16">
        <v>7597</v>
      </c>
      <c r="I18" s="17">
        <v>1.0012999999999999</v>
      </c>
    </row>
  </sheetData>
  <mergeCells count="10">
    <mergeCell ref="F3:I3"/>
    <mergeCell ref="D4:E4"/>
    <mergeCell ref="B1:I1"/>
    <mergeCell ref="Q1:R1"/>
    <mergeCell ref="Q2:R2"/>
    <mergeCell ref="N1:O1"/>
    <mergeCell ref="B2:I2"/>
    <mergeCell ref="K2:L2"/>
    <mergeCell ref="N2:O2"/>
    <mergeCell ref="K1:L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8"/>
  <sheetViews>
    <sheetView showGridLines="0" tabSelected="1" topLeftCell="A18" zoomScale="120" zoomScaleNormal="120" workbookViewId="0">
      <selection activeCell="D57" sqref="D57"/>
    </sheetView>
  </sheetViews>
  <sheetFormatPr defaultRowHeight="15" x14ac:dyDescent="0.25"/>
  <cols>
    <col min="1" max="1" width="4.28515625" customWidth="1"/>
    <col min="2" max="2" width="19.7109375" customWidth="1"/>
    <col min="3" max="3" width="32.5703125" bestFit="1" customWidth="1"/>
    <col min="4" max="4" width="15.42578125" bestFit="1" customWidth="1"/>
    <col min="5" max="6" width="13.28515625" bestFit="1" customWidth="1"/>
    <col min="7" max="7" width="12.140625" bestFit="1" customWidth="1"/>
    <col min="8" max="8" width="12.85546875" hidden="1" customWidth="1"/>
    <col min="9" max="9" width="12.140625" hidden="1" customWidth="1"/>
    <col min="10" max="10" width="2.28515625" customWidth="1"/>
    <col min="11" max="11" width="10.5703125" bestFit="1" customWidth="1"/>
    <col min="12" max="12" width="6.140625" bestFit="1" customWidth="1"/>
    <col min="13" max="13" width="2" customWidth="1"/>
    <col min="14" max="14" width="26.7109375" bestFit="1" customWidth="1"/>
    <col min="15" max="15" width="12.7109375" bestFit="1" customWidth="1"/>
    <col min="16" max="16" width="1.85546875" customWidth="1"/>
    <col min="17" max="17" width="20.7109375" bestFit="1" customWidth="1"/>
  </cols>
  <sheetData>
    <row r="1" spans="2:18" hidden="1" x14ac:dyDescent="0.25">
      <c r="B1" s="92" t="s">
        <v>11</v>
      </c>
      <c r="C1" s="92"/>
      <c r="D1" s="92"/>
      <c r="E1" s="92"/>
      <c r="F1" s="92"/>
      <c r="G1" s="92"/>
      <c r="H1" s="92"/>
      <c r="I1" s="92"/>
      <c r="K1" s="92" t="s">
        <v>12</v>
      </c>
      <c r="L1" s="92"/>
      <c r="N1" s="92" t="s">
        <v>17</v>
      </c>
      <c r="O1" s="92"/>
      <c r="Q1" s="92" t="s">
        <v>41</v>
      </c>
      <c r="R1" s="92"/>
    </row>
    <row r="2" spans="2:18" hidden="1" x14ac:dyDescent="0.25">
      <c r="B2" s="8"/>
      <c r="C2" s="18"/>
      <c r="D2" s="18"/>
      <c r="E2" s="18"/>
      <c r="F2" s="91" t="s">
        <v>8</v>
      </c>
      <c r="G2" s="91"/>
      <c r="H2" s="91"/>
      <c r="I2" s="91"/>
      <c r="K2" t="str">
        <f>+'Tabelas de Apoio'!K3</f>
        <v>Op. Vespertina</v>
      </c>
      <c r="L2" s="27">
        <f>+'Tabelas de Apoio'!L3</f>
        <v>0.46</v>
      </c>
      <c r="N2" s="93" t="s">
        <v>20</v>
      </c>
      <c r="O2" s="93"/>
      <c r="Q2" s="93" t="s">
        <v>42</v>
      </c>
      <c r="R2" s="93"/>
    </row>
    <row r="3" spans="2:18" hidden="1" x14ac:dyDescent="0.25">
      <c r="B3" s="18"/>
      <c r="C3" s="18"/>
      <c r="D3" s="91" t="s">
        <v>5</v>
      </c>
      <c r="E3" s="91"/>
      <c r="F3" s="7" t="s">
        <v>9</v>
      </c>
      <c r="G3" s="7" t="s">
        <v>10</v>
      </c>
      <c r="H3" s="15" t="s">
        <v>9</v>
      </c>
      <c r="I3" s="7" t="s">
        <v>10</v>
      </c>
      <c r="K3" t="str">
        <f>+'Tabelas de Apoio'!K4</f>
        <v>Desp. ADM 1</v>
      </c>
      <c r="L3" s="27">
        <f>+'Tabelas de Apoio'!L4</f>
        <v>0.09</v>
      </c>
      <c r="N3" t="str">
        <f>+'Tabelas de Apoio'!N3</f>
        <v>Motorista Furgão</v>
      </c>
      <c r="O3" s="28">
        <f>+'Tabelas de Apoio'!O3</f>
        <v>2500</v>
      </c>
      <c r="Q3" t="s">
        <v>43</v>
      </c>
      <c r="R3" s="39">
        <f>+'Tabelas de Apoio'!R3</f>
        <v>20</v>
      </c>
    </row>
    <row r="4" spans="2:18" hidden="1" x14ac:dyDescent="0.25">
      <c r="B4" s="7" t="s">
        <v>4</v>
      </c>
      <c r="C4" s="7" t="s">
        <v>29</v>
      </c>
      <c r="D4" s="7" t="s">
        <v>6</v>
      </c>
      <c r="E4" s="7" t="s">
        <v>7</v>
      </c>
      <c r="F4" s="23" t="s">
        <v>15</v>
      </c>
      <c r="G4" s="22" t="s">
        <v>14</v>
      </c>
      <c r="H4" s="23" t="s">
        <v>13</v>
      </c>
      <c r="I4" s="22" t="s">
        <v>16</v>
      </c>
      <c r="K4" t="str">
        <f>+'Tabelas de Apoio'!K5</f>
        <v>Desp. ADM 2</v>
      </c>
      <c r="L4" s="27">
        <f>+'Tabelas de Apoio'!L5</f>
        <v>0.13</v>
      </c>
      <c r="N4" t="str">
        <f>+'Tabelas de Apoio'!N4</f>
        <v>Motorista Furgão-Noturno</v>
      </c>
      <c r="O4" s="28">
        <f>+'Tabelas de Apoio'!O4</f>
        <v>5067</v>
      </c>
      <c r="Q4" t="s">
        <v>44</v>
      </c>
      <c r="R4" s="39">
        <f>+'Tabelas de Apoio'!R4</f>
        <v>10</v>
      </c>
    </row>
    <row r="5" spans="2:18" hidden="1" x14ac:dyDescent="0.25">
      <c r="B5" s="4"/>
      <c r="C5" s="34"/>
      <c r="D5" s="4"/>
      <c r="E5" s="4"/>
      <c r="F5" s="33"/>
      <c r="G5" s="11"/>
      <c r="H5" s="16"/>
      <c r="I5" s="17"/>
      <c r="L5" s="14"/>
      <c r="N5" t="str">
        <f>+'Tabelas de Apoio'!N5</f>
        <v>Motorista 6x4</v>
      </c>
      <c r="O5" s="28">
        <f>+'Tabelas de Apoio'!O5</f>
        <v>5730</v>
      </c>
      <c r="Q5" t="s">
        <v>45</v>
      </c>
      <c r="R5" s="39">
        <f>+'Tabelas de Apoio'!R5</f>
        <v>30</v>
      </c>
    </row>
    <row r="6" spans="2:18" s="4" customFormat="1" ht="23.25" hidden="1" customHeight="1" x14ac:dyDescent="0.25">
      <c r="B6" s="4" t="str">
        <f>+'Tabelas de Apoio'!B7</f>
        <v>Carga seca 3 eixos</v>
      </c>
      <c r="C6" s="34"/>
      <c r="D6" s="9"/>
      <c r="E6" s="9"/>
      <c r="F6" s="10">
        <f>+'Tabelas de Apoio'!F7</f>
        <v>1162.1125520833334</v>
      </c>
      <c r="G6" s="49">
        <f>+'Tabelas de Apoio'!G7</f>
        <v>8.293346520146519E-2</v>
      </c>
      <c r="H6" s="50">
        <f>+'Tabelas de Apoio'!H7</f>
        <v>830</v>
      </c>
      <c r="I6" s="17">
        <f>+'Tabelas de Apoio'!I7</f>
        <v>0.48589999999999994</v>
      </c>
      <c r="N6"/>
      <c r="O6" s="28"/>
    </row>
    <row r="7" spans="2:18" s="4" customFormat="1" ht="23.25" hidden="1" customHeight="1" x14ac:dyDescent="0.25">
      <c r="B7" s="4" t="str">
        <f>+'Tabelas de Apoio'!B8</f>
        <v>Prancha reta 2 eixos</v>
      </c>
      <c r="D7" s="9"/>
      <c r="E7" s="9"/>
      <c r="F7" s="10">
        <f>+'Tabelas de Apoio'!F8</f>
        <v>1419.7212500000001</v>
      </c>
      <c r="G7" s="49">
        <f>+'Tabelas de Apoio'!G8</f>
        <v>0.1482054945054945</v>
      </c>
      <c r="H7" s="50">
        <f>+'Tabelas de Apoio'!H8</f>
        <v>2121</v>
      </c>
      <c r="I7" s="17">
        <f>+'Tabelas de Apoio'!I8</f>
        <v>0.58189999999999997</v>
      </c>
      <c r="N7" s="24" t="s">
        <v>21</v>
      </c>
      <c r="O7" s="27">
        <f>+'Tabelas de Apoio'!O7</f>
        <v>0</v>
      </c>
    </row>
    <row r="8" spans="2:18" s="4" customFormat="1" ht="23.25" hidden="1" customHeight="1" x14ac:dyDescent="0.25">
      <c r="B8" s="4" t="str">
        <f>+'Tabelas de Apoio'!B9</f>
        <v>Prancha reta 3 eixos</v>
      </c>
      <c r="D8" s="9"/>
      <c r="E8" s="9"/>
      <c r="F8" s="10">
        <f>+'Tabelas de Apoio'!F9</f>
        <v>1568.486388888889</v>
      </c>
      <c r="G8" s="49">
        <f>+'Tabelas de Apoio'!G9</f>
        <v>0.15860549450549452</v>
      </c>
      <c r="H8" s="50">
        <f>+'Tabelas de Apoio'!H9</f>
        <v>1465</v>
      </c>
      <c r="I8" s="17">
        <f>+'Tabelas de Apoio'!I9</f>
        <v>0.24030000000000001</v>
      </c>
      <c r="N8" s="4" t="s">
        <v>30</v>
      </c>
      <c r="O8" s="29">
        <f>+'Tabelas de Apoio'!O8</f>
        <v>2763</v>
      </c>
    </row>
    <row r="9" spans="2:18" s="4" customFormat="1" ht="23.25" hidden="1" customHeight="1" x14ac:dyDescent="0.25">
      <c r="B9" s="4" t="str">
        <f>+'Tabelas de Apoio'!B10</f>
        <v>Prancha rebaixada 2 eixos</v>
      </c>
      <c r="D9" s="9"/>
      <c r="E9" s="9"/>
      <c r="F9" s="10">
        <f>+'Tabelas de Apoio'!F10</f>
        <v>1454.65625</v>
      </c>
      <c r="G9" s="49">
        <f>+'Tabelas de Apoio'!G10</f>
        <v>0.15048644688644688</v>
      </c>
      <c r="H9" s="50">
        <f>+'Tabelas de Apoio'!H10</f>
        <v>1879</v>
      </c>
      <c r="I9" s="17">
        <f>+'Tabelas de Apoio'!I10</f>
        <v>0.34110000000000001</v>
      </c>
      <c r="N9" s="4" t="s">
        <v>79</v>
      </c>
      <c r="O9" s="90">
        <f>+'Tabelas de Apoio'!O9</f>
        <v>61</v>
      </c>
    </row>
    <row r="10" spans="2:18" s="4" customFormat="1" ht="23.25" hidden="1" customHeight="1" x14ac:dyDescent="0.25">
      <c r="B10" s="4" t="str">
        <f>+'Tabelas de Apoio'!B11</f>
        <v>Prancha rebaixada 3 eixos</v>
      </c>
      <c r="D10" s="9"/>
      <c r="E10" s="9"/>
      <c r="F10" s="10">
        <f>+'Tabelas de Apoio'!F11</f>
        <v>1620.8888888888889</v>
      </c>
      <c r="G10" s="49">
        <f>+'Tabelas de Apoio'!G11</f>
        <v>0.1608864468864469</v>
      </c>
      <c r="H10" s="50">
        <f>+'Tabelas de Apoio'!H11</f>
        <v>2219</v>
      </c>
      <c r="I10" s="17">
        <f>+'Tabelas de Apoio'!I11</f>
        <v>0.4123</v>
      </c>
    </row>
    <row r="11" spans="2:18" s="4" customFormat="1" ht="23.25" hidden="1" customHeight="1" x14ac:dyDescent="0.25">
      <c r="B11" s="4" t="str">
        <f>+'Tabelas de Apoio'!B12</f>
        <v>Prancha rebaixada 4 eixos</v>
      </c>
      <c r="D11" s="9"/>
      <c r="E11" s="9"/>
      <c r="F11" s="10">
        <f>+'Tabelas de Apoio'!F12</f>
        <v>1792.40625</v>
      </c>
      <c r="G11" s="49">
        <f>+'Tabelas de Apoio'!G12</f>
        <v>0.19848644688644687</v>
      </c>
      <c r="H11" s="50">
        <f>+'Tabelas de Apoio'!H12</f>
        <v>2958</v>
      </c>
      <c r="I11" s="17">
        <f>+'Tabelas de Apoio'!I12</f>
        <v>0.41390000000000005</v>
      </c>
    </row>
    <row r="12" spans="2:18" s="4" customFormat="1" ht="23.25" hidden="1" customHeight="1" x14ac:dyDescent="0.25">
      <c r="B12" s="4" t="s">
        <v>64</v>
      </c>
      <c r="D12" s="59"/>
      <c r="E12" s="59"/>
      <c r="F12" s="10">
        <f>+'Tabelas de Apoio'!F13</f>
        <v>2095.5625</v>
      </c>
      <c r="G12" s="49">
        <f>+'Tabelas de Apoio'!G13</f>
        <v>0.23227106227106228</v>
      </c>
      <c r="H12" s="50"/>
      <c r="I12" s="17"/>
    </row>
    <row r="13" spans="2:18" s="4" customFormat="1" ht="23.25" hidden="1" customHeight="1" x14ac:dyDescent="0.25">
      <c r="B13" s="4" t="s">
        <v>65</v>
      </c>
      <c r="D13" s="59"/>
      <c r="E13" s="59"/>
      <c r="F13" s="10">
        <f>+'Tabelas de Apoio'!F14</f>
        <v>1542.675</v>
      </c>
      <c r="G13" s="49">
        <f>+'Tabelas de Apoio'!G14</f>
        <v>0.17507692307692307</v>
      </c>
      <c r="H13" s="50"/>
      <c r="I13" s="17"/>
    </row>
    <row r="14" spans="2:18" s="4" customFormat="1" ht="23.25" hidden="1" customHeight="1" x14ac:dyDescent="0.25">
      <c r="B14" s="4" t="s">
        <v>66</v>
      </c>
      <c r="D14" s="59"/>
      <c r="E14" s="59"/>
      <c r="F14" s="10">
        <f>+'Tabelas de Apoio'!F15</f>
        <v>1814.0874999999999</v>
      </c>
      <c r="G14" s="49">
        <f>+'Tabelas de Apoio'!G15</f>
        <v>0.1990769230769231</v>
      </c>
      <c r="H14" s="50"/>
      <c r="I14" s="17"/>
    </row>
    <row r="15" spans="2:18" s="4" customFormat="1" ht="23.25" hidden="1" customHeight="1" x14ac:dyDescent="0.25">
      <c r="B15" s="24" t="str">
        <f>+'Tabelas de Apoio'!B16</f>
        <v>FIORINO FURGÃO - 1.3 - FLEX FIAT</v>
      </c>
      <c r="C15" s="24" t="str">
        <f>+'Tabelas de Apoio'!C16</f>
        <v>Motorista Furgão</v>
      </c>
      <c r="D15" s="71">
        <v>12</v>
      </c>
      <c r="E15" s="71">
        <v>14</v>
      </c>
      <c r="F15" s="72">
        <f>+'Tabelas de Apoio'!H16</f>
        <v>2031</v>
      </c>
      <c r="G15" s="86">
        <f>+'Tabelas de Apoio'!G16</f>
        <v>0.67279999999999995</v>
      </c>
      <c r="H15" s="50">
        <f>+'Tabelas de Apoio'!H16</f>
        <v>2031</v>
      </c>
      <c r="I15" s="17">
        <f>+'Tabelas de Apoio'!I16</f>
        <v>0.30869999999999997</v>
      </c>
    </row>
    <row r="16" spans="2:18" s="4" customFormat="1" ht="23.25" hidden="1" customHeight="1" x14ac:dyDescent="0.25">
      <c r="B16" s="24" t="str">
        <f>+'Tabelas de Apoio'!B17</f>
        <v>GOL 1.6 MI POWER TOTAL FLEX 1.8 - 4 p</v>
      </c>
      <c r="C16" s="24"/>
      <c r="D16" s="71">
        <v>22</v>
      </c>
      <c r="E16" s="71">
        <v>26</v>
      </c>
      <c r="F16" s="72">
        <f>+'Tabelas de Apoio'!H17</f>
        <v>2185</v>
      </c>
      <c r="G16" s="86">
        <f>+'Tabelas de Apoio'!G17</f>
        <v>0.89480000000000004</v>
      </c>
      <c r="H16" s="50">
        <f>+'Tabelas de Apoio'!H17</f>
        <v>2185</v>
      </c>
      <c r="I16" s="17">
        <f>+'Tabelas de Apoio'!I17</f>
        <v>0.53069999999999995</v>
      </c>
    </row>
    <row r="17" spans="1:9" s="4" customFormat="1" ht="23.25" hidden="1" customHeight="1" x14ac:dyDescent="0.25">
      <c r="B17" s="4" t="str">
        <f>+'Tabelas de Apoio'!B18</f>
        <v>Cavalo Mecânico 6 X 4</v>
      </c>
      <c r="D17" s="9">
        <v>30</v>
      </c>
      <c r="E17" s="9">
        <v>42</v>
      </c>
      <c r="F17" s="10">
        <f>+'Tabelas de Apoio'!H18</f>
        <v>7597</v>
      </c>
      <c r="G17" s="49">
        <f>+'Tabelas de Apoio'!G18</f>
        <v>3.3236915005056478</v>
      </c>
      <c r="H17" s="50">
        <f>+'Tabelas de Apoio'!H18</f>
        <v>7597</v>
      </c>
      <c r="I17" s="17">
        <f>+'Tabelas de Apoio'!I18</f>
        <v>1.0012999999999999</v>
      </c>
    </row>
    <row r="18" spans="1:9" s="4" customFormat="1" ht="23.25" customHeight="1" x14ac:dyDescent="0.25">
      <c r="C18" s="32"/>
      <c r="D18" s="32"/>
      <c r="E18" s="32"/>
      <c r="F18" s="10"/>
      <c r="G18" s="11"/>
      <c r="H18" s="41"/>
      <c r="I18" s="17"/>
    </row>
    <row r="19" spans="1:9" x14ac:dyDescent="0.25">
      <c r="A19" s="1"/>
      <c r="B19" s="1"/>
      <c r="C19" s="1"/>
      <c r="D19" s="1"/>
      <c r="E19" s="1"/>
    </row>
    <row r="20" spans="1:9" ht="18.75" x14ac:dyDescent="0.25">
      <c r="A20" s="3"/>
      <c r="B20" s="94" t="s">
        <v>72</v>
      </c>
      <c r="C20" s="94"/>
      <c r="D20" s="94"/>
      <c r="E20" s="3"/>
    </row>
    <row r="21" spans="1:9" x14ac:dyDescent="0.25">
      <c r="A21" s="1"/>
      <c r="B21" s="25" t="s">
        <v>27</v>
      </c>
      <c r="C21" s="1"/>
      <c r="D21" s="1"/>
      <c r="E21" s="1"/>
    </row>
    <row r="22" spans="1:9" x14ac:dyDescent="0.25">
      <c r="A22" s="1"/>
      <c r="B22" s="96" t="s">
        <v>82</v>
      </c>
      <c r="C22" s="96"/>
      <c r="D22" s="1"/>
      <c r="E22" s="1"/>
    </row>
    <row r="23" spans="1:9" x14ac:dyDescent="0.25">
      <c r="A23" s="1"/>
      <c r="B23" s="19"/>
      <c r="C23" s="2" t="s">
        <v>0</v>
      </c>
      <c r="D23" s="12">
        <f>IF(B22=B15,F15,IF(B22=B16,F16))</f>
        <v>2185</v>
      </c>
      <c r="E23" s="1"/>
    </row>
    <row r="24" spans="1:9" x14ac:dyDescent="0.25">
      <c r="A24" s="1"/>
      <c r="B24" s="19"/>
      <c r="C24" s="2" t="s">
        <v>1</v>
      </c>
      <c r="D24" s="13">
        <f>+IF(B22=B15,G15,IF(B22=B16,G16))</f>
        <v>0.89480000000000004</v>
      </c>
      <c r="E24" s="1"/>
    </row>
    <row r="25" spans="1:9" ht="4.5" customHeight="1" x14ac:dyDescent="0.25">
      <c r="A25" s="1"/>
      <c r="B25" s="20"/>
      <c r="C25" s="2"/>
      <c r="D25" s="13"/>
      <c r="E25" s="1"/>
    </row>
    <row r="26" spans="1:9" hidden="1" x14ac:dyDescent="0.25">
      <c r="A26" s="1"/>
      <c r="B26" s="96"/>
      <c r="C26" s="96"/>
      <c r="D26" s="1"/>
      <c r="E26" s="1"/>
    </row>
    <row r="27" spans="1:9" hidden="1" x14ac:dyDescent="0.25">
      <c r="A27" s="1"/>
      <c r="B27" s="60"/>
      <c r="C27" s="2" t="s">
        <v>0</v>
      </c>
      <c r="D27" s="12" t="b">
        <f>+IF(B26=B6,F6,IF(B26=B7,F7,IF(B26=B8,F8,IF(B26=B9,F9,IF(B26=B10,F10,IF(B26=B11,F11,IF(B26=B12,F12,IF(B26=B13,F13,IF(B26=B14,F14)))))))))</f>
        <v>0</v>
      </c>
      <c r="E27" s="1"/>
    </row>
    <row r="28" spans="1:9" hidden="1" x14ac:dyDescent="0.25">
      <c r="A28" s="1"/>
      <c r="B28" s="60"/>
      <c r="C28" s="2" t="s">
        <v>1</v>
      </c>
      <c r="D28" s="13" t="b">
        <f>+IF(B26=B6,G6,IF(B26=B7,G7,IF(B26=B8,G8,IF(B26=B9,G9,IF(B26=B10,G10,IF(B26=B11,G11,IF(B26=B12,G12,IF(B26=B13,G13,IF(B26=B14,G14)))))))))</f>
        <v>0</v>
      </c>
      <c r="E28" s="1"/>
    </row>
    <row r="29" spans="1:9" ht="4.5" hidden="1" customHeight="1" x14ac:dyDescent="0.25">
      <c r="A29" s="1"/>
      <c r="B29" s="60"/>
      <c r="C29" s="2"/>
      <c r="D29" s="13"/>
      <c r="E29" s="1"/>
    </row>
    <row r="30" spans="1:9" x14ac:dyDescent="0.25">
      <c r="A30" s="1"/>
      <c r="B30" s="26" t="s">
        <v>24</v>
      </c>
      <c r="C30" s="2"/>
      <c r="D30" s="13"/>
      <c r="E30" s="1"/>
    </row>
    <row r="31" spans="1:9" x14ac:dyDescent="0.25">
      <c r="A31" s="1"/>
      <c r="B31" s="26" t="s">
        <v>28</v>
      </c>
      <c r="C31" s="2"/>
      <c r="D31" s="13" t="str">
        <f>IF(B22=B15,N3,IF(B22=B16,N3,"F"))</f>
        <v>Motorista Furgão</v>
      </c>
      <c r="E31" s="1"/>
    </row>
    <row r="32" spans="1:9" x14ac:dyDescent="0.25">
      <c r="A32" s="1"/>
      <c r="B32" s="95" t="s">
        <v>22</v>
      </c>
      <c r="C32" s="95"/>
      <c r="D32" s="62">
        <v>1</v>
      </c>
      <c r="E32" s="1"/>
    </row>
    <row r="33" spans="1:5" x14ac:dyDescent="0.25">
      <c r="A33" s="1"/>
      <c r="B33" s="95" t="s">
        <v>23</v>
      </c>
      <c r="C33" s="95"/>
      <c r="D33" s="12">
        <f>+IF(D31=N3,O3,IF(D31=N4,O4,IF(D31=N5,O5,IF(D31=N6,O6))))</f>
        <v>2500</v>
      </c>
      <c r="E33" s="40">
        <f>+D32*D33*(1+$L$2)</f>
        <v>3650</v>
      </c>
    </row>
    <row r="34" spans="1:5" x14ac:dyDescent="0.25">
      <c r="A34" s="1"/>
      <c r="B34" s="95" t="s">
        <v>25</v>
      </c>
      <c r="C34" s="95"/>
      <c r="D34" s="62">
        <v>0</v>
      </c>
      <c r="E34" s="1"/>
    </row>
    <row r="35" spans="1:5" x14ac:dyDescent="0.25">
      <c r="A35" s="1"/>
      <c r="B35" s="95" t="s">
        <v>26</v>
      </c>
      <c r="C35" s="95"/>
      <c r="D35" s="12">
        <f>+O8</f>
        <v>2763</v>
      </c>
      <c r="E35" s="40">
        <f>+D34*D35*(1+$L$2)</f>
        <v>0</v>
      </c>
    </row>
    <row r="36" spans="1:5" ht="9" customHeight="1" x14ac:dyDescent="0.25">
      <c r="A36" s="1"/>
      <c r="B36" s="46"/>
      <c r="C36" s="46"/>
      <c r="D36" s="45"/>
      <c r="E36" s="1"/>
    </row>
    <row r="37" spans="1:5" x14ac:dyDescent="0.25">
      <c r="A37" s="1"/>
      <c r="B37" s="95" t="s">
        <v>73</v>
      </c>
      <c r="C37" s="95"/>
      <c r="D37" s="79">
        <v>61</v>
      </c>
      <c r="E37" s="1"/>
    </row>
    <row r="38" spans="1:5" ht="9" customHeight="1" x14ac:dyDescent="0.25">
      <c r="A38" s="1"/>
      <c r="B38" s="46"/>
      <c r="C38" s="46"/>
      <c r="D38" s="45"/>
      <c r="E38" s="1"/>
    </row>
    <row r="39" spans="1:5" x14ac:dyDescent="0.25">
      <c r="A39" s="1"/>
      <c r="B39" s="95" t="s">
        <v>3</v>
      </c>
      <c r="C39" s="95"/>
      <c r="D39" s="63">
        <v>300</v>
      </c>
      <c r="E39" s="1"/>
    </row>
    <row r="40" spans="1:5" x14ac:dyDescent="0.25">
      <c r="A40" s="1"/>
      <c r="B40" s="95" t="s">
        <v>37</v>
      </c>
      <c r="C40" s="95"/>
      <c r="D40" s="64">
        <v>4.53</v>
      </c>
      <c r="E40" s="1"/>
    </row>
    <row r="41" spans="1:5" hidden="1" x14ac:dyDescent="0.25">
      <c r="A41" s="1"/>
      <c r="B41" s="20"/>
      <c r="C41" s="20" t="s">
        <v>38</v>
      </c>
      <c r="D41" s="36">
        <v>0</v>
      </c>
      <c r="E41" s="37"/>
    </row>
    <row r="42" spans="1:5" hidden="1" x14ac:dyDescent="0.25">
      <c r="A42" s="1"/>
      <c r="B42" s="20"/>
      <c r="C42" s="20" t="s">
        <v>39</v>
      </c>
      <c r="D42" s="36">
        <v>0</v>
      </c>
      <c r="E42" s="1"/>
    </row>
    <row r="43" spans="1:5" hidden="1" x14ac:dyDescent="0.25">
      <c r="A43" s="1"/>
      <c r="B43" s="20"/>
      <c r="C43" s="20" t="s">
        <v>40</v>
      </c>
      <c r="D43" s="36">
        <v>0</v>
      </c>
      <c r="E43" s="1"/>
    </row>
    <row r="44" spans="1:5" ht="4.5" customHeight="1" x14ac:dyDescent="0.25">
      <c r="A44" s="1"/>
      <c r="B44" s="20"/>
      <c r="C44" s="20"/>
      <c r="D44" s="20"/>
      <c r="E44" s="1"/>
    </row>
    <row r="45" spans="1:5" ht="17.25" customHeight="1" x14ac:dyDescent="0.25">
      <c r="A45" s="1"/>
      <c r="B45" s="26" t="s">
        <v>68</v>
      </c>
      <c r="C45" s="20"/>
      <c r="D45" s="20"/>
      <c r="E45" s="1"/>
    </row>
    <row r="46" spans="1:5" x14ac:dyDescent="0.25">
      <c r="A46" s="1"/>
      <c r="B46" s="95" t="s">
        <v>56</v>
      </c>
      <c r="C46" s="95"/>
      <c r="D46" s="85">
        <f>+SUM(D47:D52)</f>
        <v>0.11149999999999999</v>
      </c>
      <c r="E46" s="1"/>
    </row>
    <row r="47" spans="1:5" x14ac:dyDescent="0.25">
      <c r="A47" s="1"/>
      <c r="B47" s="20"/>
      <c r="C47" s="20" t="s">
        <v>31</v>
      </c>
      <c r="D47" s="65">
        <v>6.4999999999999997E-3</v>
      </c>
      <c r="E47" s="1"/>
    </row>
    <row r="48" spans="1:5" x14ac:dyDescent="0.25">
      <c r="A48" s="1"/>
      <c r="B48" s="20"/>
      <c r="C48" s="20" t="s">
        <v>32</v>
      </c>
      <c r="D48" s="65">
        <v>0.03</v>
      </c>
      <c r="E48" s="1"/>
    </row>
    <row r="49" spans="1:7" x14ac:dyDescent="0.25">
      <c r="A49" s="1"/>
      <c r="B49" s="20"/>
      <c r="C49" s="20" t="s">
        <v>35</v>
      </c>
      <c r="D49" s="65">
        <v>0.03</v>
      </c>
      <c r="E49" s="1"/>
    </row>
    <row r="50" spans="1:7" x14ac:dyDescent="0.25">
      <c r="A50" s="1"/>
      <c r="B50" s="20"/>
      <c r="C50" s="20" t="s">
        <v>33</v>
      </c>
      <c r="D50" s="65">
        <v>2.5000000000000001E-2</v>
      </c>
      <c r="E50" s="1"/>
    </row>
    <row r="51" spans="1:7" x14ac:dyDescent="0.25">
      <c r="A51" s="1"/>
      <c r="B51" s="20"/>
      <c r="C51" s="20" t="s">
        <v>34</v>
      </c>
      <c r="D51" s="65">
        <v>0.01</v>
      </c>
      <c r="E51" s="1"/>
    </row>
    <row r="52" spans="1:7" x14ac:dyDescent="0.25">
      <c r="A52" s="1"/>
      <c r="B52" s="20"/>
      <c r="C52" s="20" t="s">
        <v>36</v>
      </c>
      <c r="D52" s="65">
        <v>0.01</v>
      </c>
      <c r="E52" s="1"/>
    </row>
    <row r="53" spans="1:7" ht="4.5" customHeight="1" x14ac:dyDescent="0.25">
      <c r="A53" s="1"/>
      <c r="B53" s="47"/>
      <c r="C53" s="5"/>
      <c r="D53" s="1"/>
      <c r="E53" s="1"/>
    </row>
    <row r="54" spans="1:7" x14ac:dyDescent="0.25">
      <c r="A54" s="1"/>
      <c r="B54" s="47"/>
      <c r="C54" s="26" t="s">
        <v>85</v>
      </c>
      <c r="D54" s="20"/>
      <c r="E54" s="1"/>
    </row>
    <row r="55" spans="1:7" x14ac:dyDescent="0.25">
      <c r="A55" s="1"/>
      <c r="B55" s="47"/>
      <c r="C55" s="66" t="s">
        <v>87</v>
      </c>
      <c r="D55" s="30">
        <f>+IF(C55="Desp. ADM 1",L3,IF(C55="Desp. ADM 2",L4))</f>
        <v>0.13</v>
      </c>
      <c r="E55" s="1"/>
    </row>
    <row r="56" spans="1:7" ht="5.25" customHeight="1" x14ac:dyDescent="0.25">
      <c r="A56" s="1"/>
      <c r="B56" s="47"/>
      <c r="C56" s="1"/>
      <c r="D56" s="1"/>
      <c r="E56" s="1"/>
    </row>
    <row r="57" spans="1:7" x14ac:dyDescent="0.25">
      <c r="A57" s="1"/>
      <c r="B57" s="47"/>
      <c r="C57" s="6" t="s">
        <v>2</v>
      </c>
      <c r="D57" s="65">
        <v>0.1</v>
      </c>
      <c r="E57" s="38">
        <f>1/(1-(D46+D57+D55))</f>
        <v>1.5186028853454823</v>
      </c>
    </row>
    <row r="58" spans="1:7" hidden="1" x14ac:dyDescent="0.25">
      <c r="A58" s="1"/>
      <c r="B58" s="47"/>
      <c r="C58" s="48" t="s">
        <v>47</v>
      </c>
      <c r="D58" s="67"/>
      <c r="E58" s="38"/>
    </row>
    <row r="59" spans="1:7" hidden="1" x14ac:dyDescent="0.25">
      <c r="A59" s="1"/>
      <c r="B59" s="47"/>
      <c r="C59" s="48" t="s">
        <v>48</v>
      </c>
      <c r="D59" s="68" t="s">
        <v>49</v>
      </c>
      <c r="E59" s="38"/>
    </row>
    <row r="60" spans="1:7" x14ac:dyDescent="0.25">
      <c r="A60" s="1"/>
      <c r="B60" s="5"/>
      <c r="C60" s="5"/>
      <c r="D60" s="84" t="s">
        <v>80</v>
      </c>
      <c r="E60" s="84" t="s">
        <v>79</v>
      </c>
    </row>
    <row r="61" spans="1:7" x14ac:dyDescent="0.25">
      <c r="A61" s="1"/>
      <c r="B61" s="5"/>
      <c r="C61" s="43" t="s">
        <v>78</v>
      </c>
      <c r="D61" s="44">
        <f>+(((D23+E33+E35)/R3+D37)*E57)/8</f>
        <v>66.960895975702357</v>
      </c>
      <c r="E61" s="44">
        <f>+((D23+E33+E35)/R3+D37)*E57</f>
        <v>535.68716780561886</v>
      </c>
      <c r="F61" s="61"/>
      <c r="G61" s="27"/>
    </row>
    <row r="62" spans="1:7" x14ac:dyDescent="0.25">
      <c r="A62" s="1"/>
      <c r="B62" s="69"/>
      <c r="C62" s="43" t="s">
        <v>74</v>
      </c>
      <c r="D62" s="44">
        <f>+(((D23+((E33+E35)*6/5)*1.2)/R3+D37)*E57)/8</f>
        <v>82.203872437357646</v>
      </c>
      <c r="E62" s="44">
        <f>+(((D23+((E33+E35)*6/5)*1.2)/R3+D37)*E57)</f>
        <v>657.63097949886117</v>
      </c>
      <c r="F62" s="61"/>
      <c r="G62" s="27"/>
    </row>
    <row r="63" spans="1:7" x14ac:dyDescent="0.25">
      <c r="A63" s="1"/>
      <c r="B63" s="1"/>
      <c r="C63" s="31" t="s">
        <v>46</v>
      </c>
      <c r="D63" s="42">
        <f>+D24*E57</f>
        <v>1.3588458618071375</v>
      </c>
      <c r="E63" s="1"/>
    </row>
    <row r="64" spans="1:7" x14ac:dyDescent="0.25">
      <c r="A64" s="1"/>
      <c r="B64" s="1"/>
      <c r="C64" s="1"/>
      <c r="D64" s="1"/>
      <c r="E64" s="1"/>
    </row>
    <row r="65" spans="1:6" ht="6" customHeight="1" x14ac:dyDescent="0.25">
      <c r="A65" s="1"/>
      <c r="B65" s="1"/>
      <c r="C65" s="1"/>
      <c r="D65" s="1"/>
      <c r="E65" s="1"/>
    </row>
    <row r="66" spans="1:6" x14ac:dyDescent="0.25">
      <c r="A66" s="1"/>
      <c r="B66" s="1"/>
      <c r="C66" s="83" t="s">
        <v>75</v>
      </c>
      <c r="D66" s="80">
        <f>+E61*D40+D63*D39</f>
        <v>2834.3166287015947</v>
      </c>
      <c r="E66" s="1" t="s">
        <v>77</v>
      </c>
      <c r="F66" s="89"/>
    </row>
    <row r="67" spans="1:6" x14ac:dyDescent="0.25">
      <c r="A67" s="1"/>
      <c r="B67" s="1"/>
      <c r="C67" s="81" t="s">
        <v>76</v>
      </c>
      <c r="D67" s="82">
        <f>+E62*D40+D63*D39</f>
        <v>3386.7220956719825</v>
      </c>
      <c r="E67" s="1" t="s">
        <v>77</v>
      </c>
    </row>
    <row r="69" spans="1:6" x14ac:dyDescent="0.25">
      <c r="C69" s="51"/>
      <c r="D69" s="97" t="s">
        <v>55</v>
      </c>
      <c r="E69" s="97"/>
    </row>
    <row r="70" spans="1:6" x14ac:dyDescent="0.25">
      <c r="C70" s="52" t="s">
        <v>50</v>
      </c>
      <c r="D70" s="53">
        <f>+D23/R3*D40</f>
        <v>494.90250000000003</v>
      </c>
      <c r="E70" s="54">
        <f>+D70/$D$66</f>
        <v>0.17461087268387362</v>
      </c>
    </row>
    <row r="71" spans="1:6" x14ac:dyDescent="0.25">
      <c r="C71" s="52" t="s">
        <v>69</v>
      </c>
      <c r="D71" s="53">
        <f>+(E33+E35)/R3*D40</f>
        <v>826.72500000000002</v>
      </c>
      <c r="E71" s="54">
        <f t="shared" ref="E71:E76" si="0">+D71/$D$66</f>
        <v>0.29168406649708861</v>
      </c>
    </row>
    <row r="72" spans="1:6" x14ac:dyDescent="0.25">
      <c r="C72" s="52" t="str">
        <f>+B37</f>
        <v>Diária (alimentação, pernoite, etc)</v>
      </c>
      <c r="D72" s="53">
        <f>+D37*D40</f>
        <v>276.33000000000004</v>
      </c>
      <c r="E72" s="54">
        <f t="shared" si="0"/>
        <v>9.7494400308615933E-2</v>
      </c>
    </row>
    <row r="73" spans="1:6" x14ac:dyDescent="0.25">
      <c r="C73" s="52" t="s">
        <v>51</v>
      </c>
      <c r="D73" s="53">
        <f>D24*D39</f>
        <v>268.44</v>
      </c>
      <c r="E73" s="54">
        <f t="shared" si="0"/>
        <v>9.4710660510421804E-2</v>
      </c>
    </row>
    <row r="74" spans="1:6" x14ac:dyDescent="0.25">
      <c r="C74" s="52" t="s">
        <v>52</v>
      </c>
      <c r="D74" s="53">
        <f>+D55*D66</f>
        <v>368.46116173120731</v>
      </c>
      <c r="E74" s="54">
        <f t="shared" si="0"/>
        <v>0.13</v>
      </c>
    </row>
    <row r="75" spans="1:6" x14ac:dyDescent="0.25">
      <c r="C75" s="52" t="s">
        <v>53</v>
      </c>
      <c r="D75" s="53">
        <f>+D46*D66</f>
        <v>316.02630410022778</v>
      </c>
      <c r="E75" s="54">
        <f t="shared" si="0"/>
        <v>0.11149999999999999</v>
      </c>
    </row>
    <row r="76" spans="1:6" x14ac:dyDescent="0.25">
      <c r="C76" s="51" t="s">
        <v>54</v>
      </c>
      <c r="D76" s="55">
        <f>+D57*D66</f>
        <v>283.43166287015947</v>
      </c>
      <c r="E76" s="56">
        <f t="shared" si="0"/>
        <v>0.1</v>
      </c>
    </row>
    <row r="77" spans="1:6" x14ac:dyDescent="0.25">
      <c r="C77" s="52" t="s">
        <v>84</v>
      </c>
      <c r="D77" s="57">
        <f>SUM(D70:D76)</f>
        <v>2834.3166287015947</v>
      </c>
      <c r="E77" s="58">
        <f>SUM(E70:E76)</f>
        <v>0.99999999999999989</v>
      </c>
    </row>
    <row r="78" spans="1:6" x14ac:dyDescent="0.25">
      <c r="D78" s="61"/>
    </row>
  </sheetData>
  <sheetProtection sheet="1" selectLockedCells="1"/>
  <mergeCells count="20">
    <mergeCell ref="Q1:R1"/>
    <mergeCell ref="Q2:R2"/>
    <mergeCell ref="B32:C32"/>
    <mergeCell ref="B33:C33"/>
    <mergeCell ref="B34:C34"/>
    <mergeCell ref="N1:O1"/>
    <mergeCell ref="N2:O2"/>
    <mergeCell ref="K1:L1"/>
    <mergeCell ref="B1:I1"/>
    <mergeCell ref="F2:I2"/>
    <mergeCell ref="D3:E3"/>
    <mergeCell ref="B22:C22"/>
    <mergeCell ref="B20:D20"/>
    <mergeCell ref="B35:C35"/>
    <mergeCell ref="B40:C40"/>
    <mergeCell ref="B26:C26"/>
    <mergeCell ref="D69:E69"/>
    <mergeCell ref="B46:C46"/>
    <mergeCell ref="B37:C37"/>
    <mergeCell ref="B39:C39"/>
  </mergeCells>
  <dataValidations count="3">
    <dataValidation type="list" allowBlank="1" showInputMessage="1" showErrorMessage="1" sqref="C55" xr:uid="{00000000-0002-0000-0100-000000000000}">
      <formula1>$K$3:$K$4</formula1>
    </dataValidation>
    <dataValidation type="list" allowBlank="1" showInputMessage="1" showErrorMessage="1" sqref="B22:C22" xr:uid="{00000000-0002-0000-0100-000001000000}">
      <formula1>$B$15:$B$16</formula1>
    </dataValidation>
    <dataValidation type="list" allowBlank="1" showInputMessage="1" showErrorMessage="1" sqref="B26:C26" xr:uid="{00000000-0002-0000-0100-000002000000}">
      <formula1>$B$6:$B$14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Tabelas de Apoio</vt:lpstr>
      <vt:lpstr>Simuladores Frete Simples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Lauro</dc:creator>
  <cp:lastModifiedBy>user</cp:lastModifiedBy>
  <dcterms:created xsi:type="dcterms:W3CDTF">2015-02-03T21:32:34Z</dcterms:created>
  <dcterms:modified xsi:type="dcterms:W3CDTF">2017-10-03T11:39:21Z</dcterms:modified>
</cp:coreProperties>
</file>